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MQP\"/>
    </mc:Choice>
  </mc:AlternateContent>
  <bookViews>
    <workbookView xWindow="0" yWindow="0" windowWidth="19170" windowHeight="6270"/>
  </bookViews>
  <sheets>
    <sheet name="Dilution and Process Order" sheetId="10" r:id="rId1"/>
    <sheet name="Dilution and Order Results" sheetId="11" r:id="rId2"/>
    <sheet name="Varying PEI" sheetId="1" r:id="rId3"/>
    <sheet name="Varying PEI Results" sheetId="2" r:id="rId4"/>
    <sheet name="HCl" sheetId="9" r:id="rId5"/>
    <sheet name="HCl Results" sheetId="14" r:id="rId6"/>
    <sheet name="Diluted HCl" sheetId="7" r:id="rId7"/>
    <sheet name="Diluted HCl Results" sheetId="16" r:id="rId8"/>
    <sheet name="HCl &amp; Water" sheetId="3" r:id="rId9"/>
    <sheet name="HCl &amp; Water Results" sheetId="17" r:id="rId10"/>
    <sheet name="Results summary" sheetId="13" r:id="rId11"/>
    <sheet name="Working Calibration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8" i="17" l="1"/>
  <c r="D8" i="17" s="1"/>
  <c r="E8" i="17" s="1"/>
  <c r="E6" i="17" s="1"/>
  <c r="K3" i="16"/>
  <c r="K4" i="16"/>
  <c r="K5" i="16"/>
  <c r="K6" i="16"/>
  <c r="K2" i="16"/>
  <c r="E2" i="16"/>
  <c r="E8" i="16"/>
  <c r="E6" i="16"/>
  <c r="E5" i="16"/>
  <c r="E4" i="16"/>
  <c r="E3" i="16"/>
  <c r="E5" i="17" l="1"/>
  <c r="E3" i="17"/>
  <c r="E4" i="17"/>
  <c r="E2" i="17"/>
  <c r="E3" i="14"/>
  <c r="E4" i="14"/>
  <c r="E5" i="14"/>
  <c r="E6" i="14"/>
  <c r="E2" i="14"/>
  <c r="E8" i="14"/>
  <c r="F15" i="13" l="1"/>
  <c r="E15" i="13"/>
  <c r="D15" i="13"/>
  <c r="C15" i="13"/>
  <c r="B15" i="13"/>
  <c r="F14" i="13"/>
  <c r="E14" i="13"/>
  <c r="D14" i="13"/>
  <c r="C14" i="13"/>
  <c r="B14" i="13"/>
  <c r="F13" i="13"/>
  <c r="E13" i="13"/>
  <c r="D13" i="13"/>
  <c r="C13" i="13"/>
  <c r="B13" i="13"/>
  <c r="F12" i="13"/>
  <c r="E12" i="13"/>
  <c r="D12" i="13"/>
  <c r="C12" i="13"/>
  <c r="B12" i="13"/>
  <c r="B10" i="13"/>
  <c r="U7" i="13"/>
  <c r="T7" i="13"/>
  <c r="S7" i="13"/>
  <c r="R7" i="13"/>
  <c r="O7" i="13"/>
  <c r="N7" i="13"/>
  <c r="M7" i="13"/>
  <c r="L7" i="13"/>
  <c r="K7" i="13"/>
  <c r="E3" i="13"/>
  <c r="I6" i="17"/>
  <c r="J6" i="17" s="1"/>
  <c r="C6" i="17"/>
  <c r="D6" i="17" s="1"/>
  <c r="I5" i="17"/>
  <c r="J5" i="17" s="1"/>
  <c r="C5" i="17"/>
  <c r="D5" i="17" s="1"/>
  <c r="I4" i="17"/>
  <c r="J4" i="17" s="1"/>
  <c r="C4" i="17"/>
  <c r="D4" i="17" s="1"/>
  <c r="I3" i="17"/>
  <c r="J3" i="17" s="1"/>
  <c r="C3" i="17"/>
  <c r="D3" i="17" s="1"/>
  <c r="I2" i="17"/>
  <c r="J2" i="17" s="1"/>
  <c r="C2" i="17"/>
  <c r="D2" i="17" s="1"/>
  <c r="Q7" i="13" s="1"/>
  <c r="I5" i="16"/>
  <c r="J5" i="16" s="1"/>
  <c r="I6" i="16"/>
  <c r="J6" i="16" s="1"/>
  <c r="C8" i="16"/>
  <c r="D8" i="16" s="1"/>
  <c r="C6" i="16"/>
  <c r="D6" i="16" s="1"/>
  <c r="C5" i="16"/>
  <c r="D5" i="16" s="1"/>
  <c r="I4" i="16"/>
  <c r="J4" i="16" s="1"/>
  <c r="C4" i="16"/>
  <c r="D4" i="16" s="1"/>
  <c r="I3" i="16"/>
  <c r="J3" i="16" s="1"/>
  <c r="C3" i="16"/>
  <c r="D3" i="16" s="1"/>
  <c r="I2" i="16"/>
  <c r="J2" i="16" s="1"/>
  <c r="C2" i="16"/>
  <c r="D2" i="16" s="1"/>
  <c r="D11" i="13"/>
  <c r="C11" i="13"/>
  <c r="B11" i="13"/>
  <c r="D10" i="13"/>
  <c r="C10" i="13"/>
  <c r="B8" i="13"/>
  <c r="I7" i="13"/>
  <c r="H7" i="13"/>
  <c r="G7" i="13"/>
  <c r="F7" i="13"/>
  <c r="E7" i="13"/>
  <c r="J3" i="14"/>
  <c r="J4" i="14"/>
  <c r="J2" i="14"/>
  <c r="I3" i="14"/>
  <c r="I4" i="14"/>
  <c r="I2" i="14"/>
  <c r="D8" i="14"/>
  <c r="C8" i="14"/>
  <c r="D3" i="14"/>
  <c r="D4" i="14"/>
  <c r="D5" i="14"/>
  <c r="D6" i="14"/>
  <c r="C3" i="14"/>
  <c r="C4" i="14"/>
  <c r="C5" i="14"/>
  <c r="C6" i="14"/>
  <c r="D2" i="14"/>
  <c r="D2" i="2"/>
  <c r="F9" i="13"/>
  <c r="F8" i="13"/>
  <c r="E9" i="13"/>
  <c r="E8" i="13"/>
  <c r="D8" i="13"/>
  <c r="C9" i="13"/>
  <c r="C8" i="13"/>
  <c r="B9" i="13"/>
  <c r="D9" i="13"/>
  <c r="C7" i="13"/>
  <c r="C5" i="13"/>
  <c r="B7" i="13"/>
  <c r="B5" i="13"/>
  <c r="B3" i="13"/>
  <c r="D3" i="13"/>
  <c r="C3" i="13"/>
  <c r="E3" i="2"/>
  <c r="E4" i="2"/>
  <c r="E5" i="2"/>
  <c r="E6" i="2"/>
  <c r="E7" i="2"/>
  <c r="E2" i="2"/>
  <c r="D3" i="2"/>
  <c r="D4" i="2"/>
  <c r="D5" i="2"/>
  <c r="D6" i="2"/>
  <c r="D7" i="2"/>
  <c r="J2" i="11"/>
  <c r="N3" i="11"/>
  <c r="N4" i="11"/>
  <c r="N2" i="11"/>
  <c r="M3" i="11"/>
  <c r="M4" i="11"/>
  <c r="M2" i="11"/>
  <c r="K3" i="11"/>
  <c r="K4" i="11"/>
  <c r="J3" i="11"/>
  <c r="J4" i="11"/>
  <c r="K2" i="11"/>
  <c r="C7" i="12" l="1"/>
  <c r="B7" i="12" s="1"/>
  <c r="C6" i="12"/>
  <c r="B6" i="12"/>
  <c r="C5" i="12"/>
  <c r="B5" i="12" s="1"/>
  <c r="C4" i="12"/>
  <c r="B4" i="12"/>
  <c r="C3" i="12"/>
  <c r="B3" i="12" s="1"/>
  <c r="C2" i="12"/>
  <c r="O3" i="10" l="1"/>
  <c r="O4" i="10"/>
  <c r="H4" i="10"/>
  <c r="H3" i="10"/>
  <c r="K9" i="7" l="1"/>
  <c r="K10" i="7"/>
  <c r="K11" i="7"/>
  <c r="K12" i="7"/>
  <c r="K8" i="7"/>
  <c r="Q4" i="10" l="1"/>
  <c r="Q3" i="10"/>
  <c r="Q2" i="10"/>
  <c r="J3" i="10"/>
  <c r="J4" i="10"/>
  <c r="J2" i="10"/>
  <c r="B3" i="10"/>
  <c r="C6" i="10"/>
  <c r="B6" i="10" s="1"/>
  <c r="C5" i="10"/>
  <c r="B5" i="10" s="1"/>
  <c r="C4" i="10"/>
  <c r="B4" i="10" s="1"/>
  <c r="C3" i="10"/>
  <c r="C2" i="10"/>
  <c r="L12" i="3" l="1"/>
  <c r="C12" i="9" l="1"/>
  <c r="B12" i="9"/>
  <c r="H11" i="9"/>
  <c r="C11" i="9"/>
  <c r="B11" i="9" s="1"/>
  <c r="H10" i="9"/>
  <c r="C10" i="9"/>
  <c r="B10" i="9"/>
  <c r="H9" i="9"/>
  <c r="C9" i="9"/>
  <c r="B9" i="9" s="1"/>
  <c r="H8" i="9"/>
  <c r="C8" i="9"/>
  <c r="B8" i="9"/>
  <c r="C7" i="9"/>
  <c r="E7" i="7"/>
  <c r="E8" i="7"/>
  <c r="E9" i="7"/>
  <c r="D9" i="7" s="1"/>
  <c r="E10" i="7"/>
  <c r="E11" i="7"/>
  <c r="D11" i="7" s="1"/>
  <c r="E12" i="7"/>
  <c r="D7" i="7"/>
  <c r="D8" i="7"/>
  <c r="D10" i="7"/>
  <c r="D12" i="7"/>
  <c r="D11" i="3" l="1"/>
  <c r="D10" i="3"/>
  <c r="D9" i="3"/>
  <c r="D8" i="3"/>
  <c r="K10" i="1" l="1"/>
  <c r="K14" i="1"/>
  <c r="K13" i="1"/>
  <c r="K12" i="1"/>
  <c r="K11" i="1"/>
  <c r="N7" i="1"/>
  <c r="N6" i="1"/>
  <c r="N5" i="1"/>
  <c r="N4" i="1"/>
  <c r="N3" i="1"/>
  <c r="B5" i="1" l="1"/>
  <c r="B9" i="1"/>
  <c r="C4" i="1"/>
  <c r="B4" i="1" s="1"/>
  <c r="C5" i="1"/>
  <c r="C6" i="1"/>
  <c r="B6" i="1" s="1"/>
  <c r="C7" i="1"/>
  <c r="B7" i="1" s="1"/>
  <c r="C8" i="1"/>
  <c r="B8" i="1" s="1"/>
  <c r="C9" i="1"/>
  <c r="C3" i="1"/>
  <c r="B3" i="1" s="1"/>
  <c r="G4" i="1" l="1"/>
  <c r="G5" i="1"/>
  <c r="G6" i="1"/>
  <c r="G7" i="1"/>
  <c r="G3" i="1"/>
  <c r="C2" i="1"/>
  <c r="M12" i="3"/>
</calcChain>
</file>

<file path=xl/sharedStrings.xml><?xml version="1.0" encoding="utf-8"?>
<sst xmlns="http://schemas.openxmlformats.org/spreadsheetml/2006/main" count="209" uniqueCount="74">
  <si>
    <t>Blank</t>
  </si>
  <si>
    <r>
      <t xml:space="preserve">Samples </t>
    </r>
    <r>
      <rPr>
        <sz val="11"/>
        <color theme="1"/>
        <rFont val="Times New Roman"/>
        <family val="1"/>
      </rPr>
      <t>(everything diluted by ten)</t>
    </r>
  </si>
  <si>
    <t>g/ml</t>
  </si>
  <si>
    <t>Calibration</t>
  </si>
  <si>
    <t>Water (ml)</t>
  </si>
  <si>
    <t>Stock Solution (ml)</t>
  </si>
  <si>
    <t>PEI (g)</t>
  </si>
  <si>
    <t>After PEI solution (ml)</t>
  </si>
  <si>
    <t>Water (mL)</t>
  </si>
  <si>
    <t>Stock solution</t>
  </si>
  <si>
    <t>Rhodium Solution (μl)</t>
  </si>
  <si>
    <r>
      <t xml:space="preserve">Samples </t>
    </r>
    <r>
      <rPr>
        <sz val="11"/>
        <color theme="1"/>
        <rFont val="Times New Roman"/>
        <family val="1"/>
      </rPr>
      <t>(everything diluted by twenty)</t>
    </r>
  </si>
  <si>
    <t>g</t>
  </si>
  <si>
    <t>Intensity</t>
  </si>
  <si>
    <r>
      <rPr>
        <b/>
        <sz val="11"/>
        <color theme="1"/>
        <rFont val="Times New Roman"/>
        <family val="1"/>
      </rPr>
      <t xml:space="preserve">Concentration of PEI 
</t>
    </r>
    <r>
      <rPr>
        <sz val="11"/>
        <color theme="1"/>
        <rFont val="Times New Roman"/>
        <family val="2"/>
      </rPr>
      <t>(gPEI/ml stock solution)</t>
    </r>
  </si>
  <si>
    <t>HCl 
(mL/g PEI)</t>
  </si>
  <si>
    <t>After HCl solution (mL)</t>
  </si>
  <si>
    <t>After PEI solution (mL)</t>
  </si>
  <si>
    <t>Stock Solution (mL)</t>
  </si>
  <si>
    <t>Rhodium Solution (μL)</t>
  </si>
  <si>
    <r>
      <rPr>
        <b/>
        <sz val="11"/>
        <color theme="1"/>
        <rFont val="Times New Roman"/>
        <family val="1"/>
      </rPr>
      <t xml:space="preserve">PEI Concentration: </t>
    </r>
    <r>
      <rPr>
        <sz val="11"/>
        <color theme="1"/>
        <rFont val="Times New Roman"/>
        <family val="1"/>
      </rPr>
      <t>0.5g PEI/mL of stock sol.</t>
    </r>
  </si>
  <si>
    <r>
      <rPr>
        <b/>
        <sz val="11"/>
        <color theme="1"/>
        <rFont val="Times New Roman"/>
        <family val="1"/>
      </rPr>
      <t xml:space="preserve">Stock Solution: </t>
    </r>
    <r>
      <rPr>
        <sz val="11"/>
        <color theme="1"/>
        <rFont val="Times New Roman"/>
        <family val="1"/>
      </rPr>
      <t>1 mL</t>
    </r>
  </si>
  <si>
    <r>
      <t xml:space="preserve">Hydrochloric Acid: </t>
    </r>
    <r>
      <rPr>
        <sz val="11"/>
        <color theme="1"/>
        <rFont val="Times New Roman"/>
        <family val="1"/>
      </rPr>
      <t>37% solution</t>
    </r>
  </si>
  <si>
    <t>remove PEI beads</t>
  </si>
  <si>
    <t xml:space="preserve">remove percipatets </t>
  </si>
  <si>
    <r>
      <t>Samples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(everything diluted by twenty)</t>
    </r>
  </si>
  <si>
    <t>HCl 
(mL)</t>
  </si>
  <si>
    <r>
      <t>After H</t>
    </r>
    <r>
      <rPr>
        <i/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O solution (mL)</t>
    </r>
  </si>
  <si>
    <r>
      <t>H</t>
    </r>
    <r>
      <rPr>
        <i/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O
(mL)</t>
    </r>
  </si>
  <si>
    <t>PEI first then dilute</t>
  </si>
  <si>
    <t>Dilute then PEI</t>
  </si>
  <si>
    <t>Stock Solution</t>
  </si>
  <si>
    <t>remove HCl 
(mL/g PEI)</t>
  </si>
  <si>
    <t>10x Concentraion (mg/L)</t>
  </si>
  <si>
    <t>20x Concentraion (mg/L)</t>
  </si>
  <si>
    <t>Std. Dev.</t>
  </si>
  <si>
    <t>10X Intensity</t>
  </si>
  <si>
    <t>20X Intensity</t>
  </si>
  <si>
    <t>Calibrations</t>
  </si>
  <si>
    <t xml:space="preserve">Intensity </t>
  </si>
  <si>
    <t>measured concentration (mg/L)</t>
  </si>
  <si>
    <t>PEI (g/mL)</t>
  </si>
  <si>
    <t>Calculated Concentration (ppm)</t>
  </si>
  <si>
    <t>Mean Signal (Em)</t>
  </si>
  <si>
    <t>Dilute the solution and then mix with PEI</t>
  </si>
  <si>
    <t>Mix solution with PEI and then dilute</t>
  </si>
  <si>
    <t>Mix solution with varying amounts of PEI and then dilute</t>
  </si>
  <si>
    <t>Mix solution with PEI then drain and add HCl to PEI then dilute</t>
  </si>
  <si>
    <t>Dilute the solution and then mix with PEI then drain and add HCl to PEI</t>
  </si>
  <si>
    <t>Mix solution with PEI then drain and add HCl to PEI then drain again and add water to PEI</t>
  </si>
  <si>
    <t>Test 1 (10x)</t>
  </si>
  <si>
    <t>Test 2 (20x)</t>
  </si>
  <si>
    <t>METHOD</t>
  </si>
  <si>
    <t>Test 1 (20x)</t>
  </si>
  <si>
    <t>Rh Concentration</t>
  </si>
  <si>
    <t>Correction</t>
  </si>
  <si>
    <t>Test 3 (20x)</t>
  </si>
  <si>
    <t>Waste 1</t>
  </si>
  <si>
    <t>Sample</t>
  </si>
  <si>
    <t>Waste 2</t>
  </si>
  <si>
    <t>Waste 3</t>
  </si>
  <si>
    <t>Waste 4</t>
  </si>
  <si>
    <t>Waste 5</t>
  </si>
  <si>
    <t>Stock Sol</t>
  </si>
  <si>
    <t>N/A</t>
  </si>
  <si>
    <t>Test 4 (20x)</t>
  </si>
  <si>
    <t>Test 5 (20x)</t>
  </si>
  <si>
    <t>PEI then Dilute</t>
  </si>
  <si>
    <t>Rh on PEI (mg)</t>
  </si>
  <si>
    <t>mg</t>
  </si>
  <si>
    <t>10X ppm</t>
  </si>
  <si>
    <t>20X ppm</t>
  </si>
  <si>
    <t>10X ppm corrected for dilution</t>
  </si>
  <si>
    <t>20X ppm corrected for dilution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</si>
</sst>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7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0" fillId="0" borderId="0" xfId="0" applyNumberFormat="1"/>
    <xf numFmtId="2" fontId="0" fillId="0" borderId="2" xfId="0" applyNumberFormat="1" applyBorder="1"/>
    <xf numFmtId="0" fontId="0" fillId="0" borderId="2" xfId="0" applyBorder="1"/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Process Order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10X Dilution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'Dilution and Order Results'!$A$2:$A$4</c:f>
              <c:strCache>
                <c:ptCount val="3"/>
                <c:pt idx="0">
                  <c:v>Stock Solution</c:v>
                </c:pt>
                <c:pt idx="1">
                  <c:v>PEI then Dilute</c:v>
                </c:pt>
                <c:pt idx="2">
                  <c:v>Dilute then PEI</c:v>
                </c:pt>
              </c:strCache>
            </c:strRef>
          </c:cat>
          <c:val>
            <c:numRef>
              <c:f>'Dilution and Order Results'!$M$2:$M$4</c:f>
              <c:numCache>
                <c:formatCode>0.00</c:formatCode>
                <c:ptCount val="3"/>
                <c:pt idx="0">
                  <c:v>17.502952453201569</c:v>
                </c:pt>
                <c:pt idx="1">
                  <c:v>15.537049187050211</c:v>
                </c:pt>
                <c:pt idx="2">
                  <c:v>8.3979421674560388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1-491A-A3AD-5405B6817DF3}"/>
            </c:ext>
          </c:extLst>
        </c:ser>
        <c:ser>
          <c:idx val="1"/>
          <c:order val="1"/>
          <c:tx>
            <c:v>20X Dilution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'Dilution and Order Results'!$A$2:$A$4</c:f>
              <c:strCache>
                <c:ptCount val="3"/>
                <c:pt idx="0">
                  <c:v>Stock Solution</c:v>
                </c:pt>
                <c:pt idx="1">
                  <c:v>PEI then Dilute</c:v>
                </c:pt>
                <c:pt idx="2">
                  <c:v>Dilute then PEI</c:v>
                </c:pt>
              </c:strCache>
            </c:strRef>
          </c:cat>
          <c:val>
            <c:numRef>
              <c:f>'Dilution and Order Results'!$N$2:$N$4</c:f>
              <c:numCache>
                <c:formatCode>0.00</c:formatCode>
                <c:ptCount val="3"/>
                <c:pt idx="0">
                  <c:v>18.703155434359175</c:v>
                </c:pt>
                <c:pt idx="1">
                  <c:v>16.8857154573227</c:v>
                </c:pt>
                <c:pt idx="2">
                  <c:v>10.44143959431106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1-491A-A3AD-5405B6817D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8274224"/>
        <c:axId val="328269632"/>
      </c:barChart>
      <c:catAx>
        <c:axId val="32827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8269632"/>
        <c:crosses val="autoZero"/>
        <c:auto val="1"/>
        <c:lblAlgn val="ctr"/>
        <c:lblOffset val="100"/>
        <c:noMultiLvlLbl val="0"/>
      </c:catAx>
      <c:valAx>
        <c:axId val="3282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Rhodium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827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Affect of PEI on Rhodium Concentration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'Varying PEI Results'!$A$2:$A$7</c:f>
              <c:numCache>
                <c:formatCode>General</c:formatCode>
                <c:ptCount val="6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xVal>
          <c:yVal>
            <c:numRef>
              <c:f>'Varying PEI Results'!$E$2:$E$7</c:f>
              <c:numCache>
                <c:formatCode>General</c:formatCode>
                <c:ptCount val="6"/>
                <c:pt idx="0">
                  <c:v>12.819292094669866</c:v>
                </c:pt>
                <c:pt idx="1">
                  <c:v>14.941777896240406</c:v>
                </c:pt>
                <c:pt idx="2">
                  <c:v>15.239633950478064</c:v>
                </c:pt>
                <c:pt idx="3">
                  <c:v>16.245320156644045</c:v>
                </c:pt>
                <c:pt idx="4">
                  <c:v>16.279902131643873</c:v>
                </c:pt>
                <c:pt idx="5">
                  <c:v>17.384741557829127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5-4277-BF89-F779AD7F0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46656"/>
        <c:axId val="383746000"/>
      </c:scatterChart>
      <c:valAx>
        <c:axId val="38374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PEI</a:t>
                </a:r>
                <a:r>
                  <a:rPr lang="en-US" baseline="0"/>
                  <a:t> (g/ml)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000"/>
        <c:crosses val="autoZero"/>
        <c:crossBetween val="midCat"/>
      </c:valAx>
      <c:valAx>
        <c:axId val="383746000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Rhodium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Affect</a:t>
            </a:r>
            <a:r>
              <a:rPr lang="en-US" baseline="0"/>
              <a:t> of HCl on Rhoduim Concentration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 Results'!$G$2:$G$4</c:f>
              <c:numCache>
                <c:formatCode>General</c:formatCode>
                <c:ptCount val="3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</c:numCache>
            </c:numRef>
          </c:xVal>
          <c:yVal>
            <c:numRef>
              <c:f>'HCl Results'!$J$2:$J$4</c:f>
              <c:numCache>
                <c:formatCode>General</c:formatCode>
                <c:ptCount val="3"/>
                <c:pt idx="0">
                  <c:v>5.5197684511239142</c:v>
                </c:pt>
                <c:pt idx="1">
                  <c:v>5.6738427681982522</c:v>
                </c:pt>
                <c:pt idx="2">
                  <c:v>5.9715621347876899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0-43FF-8E8D-40A252C1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46656"/>
        <c:axId val="383746000"/>
      </c:scatterChart>
      <c:valAx>
        <c:axId val="38374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aseline="0"/>
                  <a:t>HCl (ml)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000"/>
        <c:crosses val="autoZero"/>
        <c:crossBetween val="midCat"/>
      </c:valAx>
      <c:valAx>
        <c:axId val="383746000"/>
        <c:scaling>
          <c:orientation val="minMax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Rhodium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65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Affect</a:t>
            </a:r>
            <a:r>
              <a:rPr lang="en-US" baseline="0"/>
              <a:t> of HCl on Rhoduim Concentration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'Diluted HCl Results'!$G$2:$G$6</c:f>
              <c:numCache>
                <c:formatCode>General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xVal>
          <c:yVal>
            <c:numRef>
              <c:f>'Diluted HCl Results'!$J$2:$J$6</c:f>
              <c:numCache>
                <c:formatCode>0.00</c:formatCode>
                <c:ptCount val="5"/>
                <c:pt idx="0">
                  <c:v>4.5930603680998363</c:v>
                </c:pt>
                <c:pt idx="1">
                  <c:v>4.6065582733616273</c:v>
                </c:pt>
                <c:pt idx="2">
                  <c:v>4.6116908945523143</c:v>
                </c:pt>
                <c:pt idx="3">
                  <c:v>4.6926373198285933</c:v>
                </c:pt>
                <c:pt idx="4">
                  <c:v>4.5805466139052351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C2-4923-A58A-9B7C4796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46656"/>
        <c:axId val="383746000"/>
      </c:scatterChart>
      <c:valAx>
        <c:axId val="38374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aseline="0"/>
                  <a:t>HCl (ml)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000"/>
        <c:crosses val="autoZero"/>
        <c:crossBetween val="midCat"/>
      </c:valAx>
      <c:valAx>
        <c:axId val="38374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Rhodium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Water and </a:t>
            </a:r>
            <a:r>
              <a:rPr lang="en-US" baseline="0"/>
              <a:t>Rhoduim Concentration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 &amp; Water Results'!$G$2:$G$6</c:f>
              <c:numCache>
                <c:formatCode>General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xVal>
          <c:yVal>
            <c:numRef>
              <c:f>'HCl &amp; Water Results'!$J$2:$J$6</c:f>
              <c:numCache>
                <c:formatCode>General</c:formatCode>
                <c:ptCount val="5"/>
                <c:pt idx="0">
                  <c:v>5.2672995304779295</c:v>
                </c:pt>
                <c:pt idx="1">
                  <c:v>5.0913415209234616</c:v>
                </c:pt>
                <c:pt idx="2">
                  <c:v>5.2587292149344922</c:v>
                </c:pt>
                <c:pt idx="3">
                  <c:v>5.6450563494829789</c:v>
                </c:pt>
                <c:pt idx="4">
                  <c:v>5.7257840745221067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00-43BD-A1F6-73A397EC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46656"/>
        <c:axId val="383746000"/>
      </c:scatterChart>
      <c:valAx>
        <c:axId val="38374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aseline="0"/>
                  <a:t>Water (ml)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000"/>
        <c:crosses val="autoZero"/>
        <c:crossBetween val="midCat"/>
      </c:valAx>
      <c:valAx>
        <c:axId val="38374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Rhodium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74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Calibration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Calibration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5447154471544715E-2"/>
                  <c:y val="0.234227655753557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'Working Calibration'!$G$2:$G$7</c:f>
                <c:numCache>
                  <c:formatCode>General</c:formatCode>
                  <c:ptCount val="6"/>
                  <c:pt idx="0">
                    <c:v>171.94</c:v>
                  </c:pt>
                  <c:pt idx="1">
                    <c:v>177.97</c:v>
                  </c:pt>
                  <c:pt idx="2">
                    <c:v>1868.96</c:v>
                  </c:pt>
                  <c:pt idx="3">
                    <c:v>12695.47</c:v>
                  </c:pt>
                  <c:pt idx="4">
                    <c:v>195098.96</c:v>
                  </c:pt>
                  <c:pt idx="5">
                    <c:v>172993.82</c:v>
                  </c:pt>
                </c:numCache>
              </c:numRef>
            </c:plus>
            <c:minus>
              <c:numRef>
                <c:f>'Working Calibration'!$G$2:$G$7</c:f>
                <c:numCache>
                  <c:formatCode>General</c:formatCode>
                  <c:ptCount val="6"/>
                  <c:pt idx="0">
                    <c:v>171.94</c:v>
                  </c:pt>
                  <c:pt idx="1">
                    <c:v>177.97</c:v>
                  </c:pt>
                  <c:pt idx="2">
                    <c:v>1868.96</c:v>
                  </c:pt>
                  <c:pt idx="3">
                    <c:v>12695.47</c:v>
                  </c:pt>
                  <c:pt idx="4">
                    <c:v>195098.96</c:v>
                  </c:pt>
                  <c:pt idx="5">
                    <c:v>172993.82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'Working Calibration'!$A$2:$A$7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'Working Calibration'!$F$2:$F$7</c:f>
              <c:numCache>
                <c:formatCode>General</c:formatCode>
                <c:ptCount val="6"/>
                <c:pt idx="0">
                  <c:v>0</c:v>
                </c:pt>
                <c:pt idx="1">
                  <c:v>26672.3</c:v>
                </c:pt>
                <c:pt idx="2">
                  <c:v>272170.7</c:v>
                </c:pt>
                <c:pt idx="3">
                  <c:v>2909606.9</c:v>
                </c:pt>
                <c:pt idx="4">
                  <c:v>14161119.1</c:v>
                </c:pt>
                <c:pt idx="5">
                  <c:v>29400711.399999999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ED-4F40-AE43-5A53B984E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00624"/>
        <c:axId val="37709570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'Dilution and Order Results'!$A$2</c15:sqref>
                        </c15:formulaRef>
                      </c:ext>
                    </c:extLst>
                    <c:strCache>
                      <c:ptCount val="1"/>
                      <c:pt idx="0">
                        <c:v>Stock Solution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'Dilution and Order Results'!$M$2:$N$2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17.502952453201569</c:v>
                      </c:pt>
                      <c:pt idx="1">
                        <c:v>18.703155434359175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'Dilution and Order Results'!$J$2:$K$2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1.7502952453201568</c:v>
                      </c:pt>
                      <c:pt idx="1">
                        <c:v>0.93515777171795877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CED-4F40-AE43-5A53B984E39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'Dilution and Order Results'!$A$3</c15:sqref>
                        </c15:formulaRef>
                      </c:ext>
                    </c:extLst>
                    <c:strCache>
                      <c:ptCount val="1"/>
                      <c:pt idx="0">
                        <c:v>PEI then Dilute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'Dilution and Order Results'!$M$3:$N$3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15.537049187050211</c:v>
                      </c:pt>
                      <c:pt idx="1">
                        <c:v>16.8857154573227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'Dilution and Order Results'!$J$3:$K$3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1.5537049187050211</c:v>
                      </c:pt>
                      <c:pt idx="1">
                        <c:v>0.84428577286613493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CED-4F40-AE43-5A53B984E39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'Dilution and Order Results'!$A$4</c15:sqref>
                        </c15:formulaRef>
                      </c:ext>
                    </c:extLst>
                    <c:strCache>
                      <c:ptCount val="1"/>
                      <c:pt idx="0">
                        <c:v>Dilute then PEI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'Dilution and Order Results'!$M$4:$N$4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8.3979421674560388</c:v>
                      </c:pt>
                      <c:pt idx="1">
                        <c:v>10.44143959431106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'Dilution and Order Results'!$J$4:$K$4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0.83979421674560384</c:v>
                      </c:pt>
                      <c:pt idx="1">
                        <c:v>0.52207197971555297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CED-4F40-AE43-5A53B984E39A}"/>
                  </c:ext>
                </c:extLst>
              </c15:ser>
            </c15:filteredScatterSeries>
          </c:ext>
        </c:extLst>
      </c:scatterChart>
      <c:valAx>
        <c:axId val="37710062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Entered Rhodium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7095704"/>
        <c:crosses val="autoZero"/>
        <c:crossBetween val="midCat"/>
      </c:valAx>
      <c:valAx>
        <c:axId val="377095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7100624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4</xdr:row>
      <xdr:rowOff>164064</xdr:rowOff>
    </xdr:from>
    <xdr:to>
      <xdr:col>14</xdr:col>
      <xdr:colOff>463614</xdr:colOff>
      <xdr:row>18</xdr:row>
      <xdr:rowOff>185835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161536</xdr:colOff>
      <xdr:row>28</xdr:row>
      <xdr:rowOff>73867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8</xdr:row>
      <xdr:rowOff>152400</xdr:rowOff>
    </xdr:from>
    <xdr:to>
      <xdr:col>7</xdr:col>
      <xdr:colOff>323850</xdr:colOff>
      <xdr:row>16</xdr:row>
      <xdr:rowOff>133350</xdr:rowOff>
    </xdr:to>
    <xdr:sp macro="" textlink="">
      <xdr:nvSpPr>
        <xdr:cNvPr id="2" name="TextBox 1"/>
        <xdr:cNvSpPr txBox="1"/>
      </xdr:nvSpPr>
      <xdr:spPr>
        <a:xfrm>
          <a:off x="2266950" y="2057400"/>
          <a:ext cx="26479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Procedure: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 put about calculated amount of PEI beads into the stock solution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remove calculated amount of IPA solution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dilute with water 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centrifuge (40% rpm for 15 minutes)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remove precipatets </a:t>
          </a:r>
          <a:endParaRPr lang="en-US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38100</xdr:rowOff>
    </xdr:from>
    <xdr:to>
      <xdr:col>12</xdr:col>
      <xdr:colOff>400050</xdr:colOff>
      <xdr:row>15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</xdr:row>
      <xdr:rowOff>161925</xdr:rowOff>
    </xdr:from>
    <xdr:to>
      <xdr:col>19</xdr:col>
      <xdr:colOff>314325</xdr:colOff>
      <xdr:row>14</xdr:row>
      <xdr:rowOff>47625</xdr:rowOff>
    </xdr:to>
    <xdr:sp macro="" textlink="">
      <xdr:nvSpPr>
        <xdr:cNvPr id="2" name="TextBox 1"/>
        <xdr:cNvSpPr txBox="1"/>
      </xdr:nvSpPr>
      <xdr:spPr>
        <a:xfrm>
          <a:off x="10172700" y="352425"/>
          <a:ext cx="264795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Procedure: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 put about calculated amount of PEI beads into the stock solution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mix it up</a:t>
          </a:r>
          <a:endParaRPr lang="en-US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take some solution out and water to find waste concentration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centrifuge (3500 rpm for 3 hours)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remove precipatets 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filter PEI from stock sol. with filter paper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put calculated amount of HCl over PEI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dilute with water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centrifuge (3500 rpm 3 hours)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remove PEI and percipatets 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704850</xdr:colOff>
      <xdr:row>12</xdr:row>
      <xdr:rowOff>9525</xdr:rowOff>
    </xdr:from>
    <xdr:to>
      <xdr:col>13</xdr:col>
      <xdr:colOff>533400</xdr:colOff>
      <xdr:row>19</xdr:row>
      <xdr:rowOff>180975</xdr:rowOff>
    </xdr:to>
    <xdr:sp macro="" textlink="">
      <xdr:nvSpPr>
        <xdr:cNvPr id="3" name="TextBox 2"/>
        <xdr:cNvSpPr txBox="1"/>
      </xdr:nvSpPr>
      <xdr:spPr>
        <a:xfrm>
          <a:off x="6457950" y="2676525"/>
          <a:ext cx="26479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Notes: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When adding HCl, gas formed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- 1-3 look foggy, redish yellow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- 4 and 5 appear clear 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PEI looks more brown/less red</a:t>
          </a:r>
          <a:endParaRPr lang="en-US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6</xdr:row>
      <xdr:rowOff>171450</xdr:rowOff>
    </xdr:from>
    <xdr:to>
      <xdr:col>14</xdr:col>
      <xdr:colOff>295275</xdr:colOff>
      <xdr:row>21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12</xdr:row>
      <xdr:rowOff>114300</xdr:rowOff>
    </xdr:from>
    <xdr:to>
      <xdr:col>8</xdr:col>
      <xdr:colOff>419100</xdr:colOff>
      <xdr:row>20</xdr:row>
      <xdr:rowOff>95250</xdr:rowOff>
    </xdr:to>
    <xdr:sp macro="" textlink="">
      <xdr:nvSpPr>
        <xdr:cNvPr id="3" name="TextBox 2"/>
        <xdr:cNvSpPr txBox="1"/>
      </xdr:nvSpPr>
      <xdr:spPr>
        <a:xfrm>
          <a:off x="4143375" y="2781300"/>
          <a:ext cx="148590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Notes:</a:t>
          </a:r>
        </a:p>
      </xdr:txBody>
    </xdr:sp>
    <xdr:clientData/>
  </xdr:twoCellAnchor>
  <xdr:twoCellAnchor>
    <xdr:from>
      <xdr:col>11</xdr:col>
      <xdr:colOff>171450</xdr:colOff>
      <xdr:row>3</xdr:row>
      <xdr:rowOff>57150</xdr:rowOff>
    </xdr:from>
    <xdr:to>
      <xdr:col>15</xdr:col>
      <xdr:colOff>381000</xdr:colOff>
      <xdr:row>17</xdr:row>
      <xdr:rowOff>161925</xdr:rowOff>
    </xdr:to>
    <xdr:sp macro="" textlink="">
      <xdr:nvSpPr>
        <xdr:cNvPr id="4" name="TextBox 3"/>
        <xdr:cNvSpPr txBox="1"/>
      </xdr:nvSpPr>
      <xdr:spPr>
        <a:xfrm>
          <a:off x="10239375" y="628650"/>
          <a:ext cx="2647950" cy="3152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Procedure:</a:t>
          </a:r>
        </a:p>
        <a:p>
          <a:pPr marL="0" indent="0"/>
          <a:r>
            <a:rPr lang="en-US" sz="12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dilute stock solution 20x</a:t>
          </a:r>
        </a:p>
        <a:p>
          <a:pPr marL="0" indent="0"/>
          <a:r>
            <a:rPr lang="en-US" sz="12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centrifuge (3500 rpm for 3 hours)</a:t>
          </a:r>
        </a:p>
        <a:p>
          <a:pPr marL="0" indent="0"/>
          <a:r>
            <a:rPr lang="en-US" sz="12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remove </a:t>
          </a:r>
          <a:r>
            <a:rPr lang="en-GB" sz="12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precipitates</a:t>
          </a:r>
        </a:p>
        <a:p>
          <a:pPr marL="0" indent="0"/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put about calculated amount of PEI beads into the stock solution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 shake</a:t>
          </a:r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filter PEI from stock sol. with filter paper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keep waste to test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put calculated amount of HCl over PEI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dilute with water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centrifuge (3500 rpm 3 hours)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remove PEI and percipatets 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7</xdr:row>
      <xdr:rowOff>123825</xdr:rowOff>
    </xdr:from>
    <xdr:to>
      <xdr:col>14</xdr:col>
      <xdr:colOff>285750</xdr:colOff>
      <xdr:row>22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</xdr:row>
      <xdr:rowOff>66674</xdr:rowOff>
    </xdr:from>
    <xdr:to>
      <xdr:col>17</xdr:col>
      <xdr:colOff>371475</xdr:colOff>
      <xdr:row>17</xdr:row>
      <xdr:rowOff>190499</xdr:rowOff>
    </xdr:to>
    <xdr:sp macro="" textlink="">
      <xdr:nvSpPr>
        <xdr:cNvPr id="2" name="TextBox 1"/>
        <xdr:cNvSpPr txBox="1"/>
      </xdr:nvSpPr>
      <xdr:spPr>
        <a:xfrm>
          <a:off x="10629900" y="257174"/>
          <a:ext cx="2647950" cy="3552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Procedure: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 put about calculated amount of PEI beads into the stock solution</a:t>
          </a:r>
        </a:p>
        <a:p>
          <a:r>
            <a:rPr lang="en-US" sz="1200" b="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mix solution and water to find waste concentration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centrifuge (3500 rpm for 3 hours)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remove precipatets 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filter PEI from stock sol. with filter paper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put calculated amount of HCl over PEI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filter PEI from HCl with filter paper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put calculated amount of NaOH over PEI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dilute with water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centrifuge (3500 rpm 3 hours)</a:t>
          </a:r>
        </a:p>
        <a:p>
          <a:r>
            <a:rPr lang="en-US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- remove PEI and percipatets </a:t>
          </a:r>
        </a:p>
        <a:p>
          <a:endParaRPr lang="en-US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10</xdr:col>
      <xdr:colOff>333375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C15" sqref="C15"/>
    </sheetView>
  </sheetViews>
  <sheetFormatPr defaultRowHeight="15" x14ac:dyDescent="0.25"/>
  <cols>
    <col min="1" max="1" width="12.7109375" customWidth="1"/>
    <col min="3" max="3" width="13.42578125" customWidth="1"/>
    <col min="5" max="5" width="11.85546875" customWidth="1"/>
    <col min="8" max="8" width="9.5703125" bestFit="1" customWidth="1"/>
    <col min="15" max="15" width="9.5703125" bestFit="1" customWidth="1"/>
  </cols>
  <sheetData>
    <row r="1" spans="1:18" ht="45" x14ac:dyDescent="0.25">
      <c r="A1" s="14" t="s">
        <v>3</v>
      </c>
      <c r="B1" s="4" t="s">
        <v>4</v>
      </c>
      <c r="C1" s="4" t="s">
        <v>10</v>
      </c>
      <c r="D1" s="4"/>
      <c r="E1" s="33" t="s">
        <v>1</v>
      </c>
      <c r="F1" s="33"/>
      <c r="G1" s="7" t="s">
        <v>6</v>
      </c>
      <c r="H1" s="4" t="s">
        <v>41</v>
      </c>
      <c r="I1" s="4" t="s">
        <v>5</v>
      </c>
      <c r="J1" s="4" t="s">
        <v>8</v>
      </c>
      <c r="L1" s="33" t="s">
        <v>11</v>
      </c>
      <c r="M1" s="33"/>
      <c r="N1" s="7" t="s">
        <v>6</v>
      </c>
      <c r="O1" s="4" t="s">
        <v>41</v>
      </c>
      <c r="P1" s="4" t="s">
        <v>5</v>
      </c>
      <c r="Q1" s="4" t="s">
        <v>8</v>
      </c>
    </row>
    <row r="2" spans="1:18" x14ac:dyDescent="0.25">
      <c r="A2" s="5" t="s">
        <v>0</v>
      </c>
      <c r="B2" s="5">
        <v>15</v>
      </c>
      <c r="C2" s="2">
        <f t="shared" ref="C2" si="0">15-B2</f>
        <v>0</v>
      </c>
      <c r="D2" s="2"/>
      <c r="E2" t="s">
        <v>31</v>
      </c>
      <c r="F2" s="2"/>
      <c r="G2" s="2"/>
      <c r="H2" s="2"/>
      <c r="I2" s="2">
        <v>1.5</v>
      </c>
      <c r="J2" s="2">
        <f>15-I2</f>
        <v>13.5</v>
      </c>
      <c r="L2" t="s">
        <v>31</v>
      </c>
      <c r="M2" s="2"/>
      <c r="N2" s="2"/>
      <c r="O2" s="2"/>
      <c r="P2" s="2">
        <v>0.75</v>
      </c>
      <c r="Q2" s="2">
        <f>15-P2</f>
        <v>14.25</v>
      </c>
      <c r="R2" s="2"/>
    </row>
    <row r="3" spans="1:18" x14ac:dyDescent="0.25">
      <c r="A3" s="1">
        <v>0.1</v>
      </c>
      <c r="B3" s="1">
        <f>15-(C3/1000)</f>
        <v>14.9985</v>
      </c>
      <c r="C3">
        <f>15*A3</f>
        <v>1.5</v>
      </c>
      <c r="D3" s="6"/>
      <c r="E3" s="2" t="s">
        <v>29</v>
      </c>
      <c r="F3" s="15"/>
      <c r="G3">
        <v>0.1</v>
      </c>
      <c r="H3" s="18">
        <f>G3/I3</f>
        <v>6.6666666666666666E-2</v>
      </c>
      <c r="I3">
        <v>1.5</v>
      </c>
      <c r="J3" s="2">
        <f t="shared" ref="J3:J4" si="1">15-I3</f>
        <v>13.5</v>
      </c>
      <c r="L3" s="2" t="s">
        <v>29</v>
      </c>
      <c r="M3" s="15"/>
      <c r="N3">
        <v>0.1</v>
      </c>
      <c r="O3" s="18">
        <f>N3/P3</f>
        <v>0.13333333333333333</v>
      </c>
      <c r="P3" s="2">
        <v>0.75</v>
      </c>
      <c r="Q3" s="2">
        <f t="shared" ref="Q3:Q4" si="2">15-P3</f>
        <v>14.25</v>
      </c>
    </row>
    <row r="4" spans="1:18" x14ac:dyDescent="0.25">
      <c r="A4" s="1">
        <v>1</v>
      </c>
      <c r="B4" s="1">
        <f>15-(C4/1000)</f>
        <v>14.984999999999999</v>
      </c>
      <c r="C4">
        <f t="shared" ref="C4:C6" si="3">15*A4</f>
        <v>15</v>
      </c>
      <c r="D4" s="6"/>
      <c r="E4" t="s">
        <v>30</v>
      </c>
      <c r="G4">
        <v>0.1</v>
      </c>
      <c r="H4" s="18">
        <f>G4/I4</f>
        <v>6.6666666666666666E-2</v>
      </c>
      <c r="I4">
        <v>1.5</v>
      </c>
      <c r="J4" s="2">
        <f t="shared" si="1"/>
        <v>13.5</v>
      </c>
      <c r="L4" t="s">
        <v>30</v>
      </c>
      <c r="N4">
        <v>0.1</v>
      </c>
      <c r="O4" s="18">
        <f>N4/P4</f>
        <v>0.13333333333333333</v>
      </c>
      <c r="P4" s="2">
        <v>0.75</v>
      </c>
      <c r="Q4" s="2">
        <f t="shared" si="2"/>
        <v>14.25</v>
      </c>
    </row>
    <row r="5" spans="1:18" x14ac:dyDescent="0.25">
      <c r="A5" s="1">
        <v>50</v>
      </c>
      <c r="B5" s="1">
        <f t="shared" ref="B5:B6" si="4">15-(C5/1000)</f>
        <v>14.25</v>
      </c>
      <c r="C5">
        <f t="shared" si="3"/>
        <v>750</v>
      </c>
      <c r="D5" s="6"/>
      <c r="E5" s="6"/>
    </row>
    <row r="6" spans="1:18" x14ac:dyDescent="0.25">
      <c r="A6" s="1">
        <v>200</v>
      </c>
      <c r="B6" s="1">
        <f t="shared" si="4"/>
        <v>12</v>
      </c>
      <c r="C6">
        <f t="shared" si="3"/>
        <v>3000</v>
      </c>
    </row>
    <row r="7" spans="1:18" x14ac:dyDescent="0.25">
      <c r="A7" s="1"/>
      <c r="B7" s="1"/>
    </row>
    <row r="8" spans="1:18" x14ac:dyDescent="0.25">
      <c r="A8" s="1"/>
      <c r="B8" s="1"/>
    </row>
    <row r="9" spans="1:18" x14ac:dyDescent="0.25">
      <c r="A9" s="1"/>
      <c r="B9" s="1"/>
    </row>
  </sheetData>
  <mergeCells count="2">
    <mergeCell ref="E1:F1"/>
    <mergeCell ref="L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16" sqref="B16"/>
    </sheetView>
  </sheetViews>
  <sheetFormatPr defaultRowHeight="15" x14ac:dyDescent="0.25"/>
  <sheetData>
    <row r="1" spans="1:10" x14ac:dyDescent="0.25">
      <c r="A1" t="s">
        <v>58</v>
      </c>
      <c r="B1" t="s">
        <v>13</v>
      </c>
      <c r="C1" t="s">
        <v>54</v>
      </c>
      <c r="E1" t="s">
        <v>68</v>
      </c>
      <c r="G1" t="s">
        <v>58</v>
      </c>
      <c r="H1" t="s">
        <v>13</v>
      </c>
      <c r="I1" t="s">
        <v>54</v>
      </c>
    </row>
    <row r="2" spans="1:10" x14ac:dyDescent="0.25">
      <c r="A2" t="s">
        <v>57</v>
      </c>
      <c r="B2">
        <v>82797.3</v>
      </c>
      <c r="C2">
        <f>(B2+62276)/292638</f>
        <v>0.49574320491528778</v>
      </c>
      <c r="D2" s="21">
        <f>C2*20</f>
        <v>9.9148640983057561</v>
      </c>
      <c r="E2" s="18">
        <f>$E$8-(D2/1000)</f>
        <v>1.1090938292361208E-2</v>
      </c>
      <c r="G2">
        <v>1</v>
      </c>
      <c r="H2">
        <v>14794.6</v>
      </c>
      <c r="I2">
        <f>(H2+62276)/292638</f>
        <v>0.26336497652389645</v>
      </c>
      <c r="J2">
        <f>I2*20</f>
        <v>5.2672995304779295</v>
      </c>
    </row>
    <row r="3" spans="1:10" x14ac:dyDescent="0.25">
      <c r="A3" t="s">
        <v>59</v>
      </c>
      <c r="B3">
        <v>121573.2</v>
      </c>
      <c r="C3">
        <f t="shared" ref="C3:C6" si="0">(B3+62276)/292638</f>
        <v>0.62824786938128341</v>
      </c>
      <c r="D3" s="21">
        <f t="shared" ref="D3:D6" si="1">C3*20</f>
        <v>12.564957387625668</v>
      </c>
      <c r="E3" s="18">
        <f t="shared" ref="E3:E6" si="2">$E$8-(D3/1000)</f>
        <v>8.440845003041297E-3</v>
      </c>
      <c r="G3">
        <v>0.8</v>
      </c>
      <c r="H3">
        <v>12220</v>
      </c>
      <c r="I3">
        <f t="shared" ref="I3:I6" si="3">(H3+62276)/292638</f>
        <v>0.25456707604617307</v>
      </c>
      <c r="J3">
        <f t="shared" ref="J3:J6" si="4">I3*20</f>
        <v>5.0913415209234616</v>
      </c>
    </row>
    <row r="4" spans="1:10" x14ac:dyDescent="0.25">
      <c r="A4" t="s">
        <v>60</v>
      </c>
      <c r="B4">
        <v>97884.800000000003</v>
      </c>
      <c r="C4">
        <f t="shared" si="0"/>
        <v>0.54730007722852125</v>
      </c>
      <c r="D4" s="21">
        <f t="shared" si="1"/>
        <v>10.946001544570425</v>
      </c>
      <c r="E4" s="18">
        <f t="shared" si="2"/>
        <v>1.0059800846096539E-2</v>
      </c>
      <c r="G4">
        <v>0.6</v>
      </c>
      <c r="H4">
        <v>14669.2</v>
      </c>
      <c r="I4">
        <f t="shared" si="3"/>
        <v>0.26293646074672461</v>
      </c>
      <c r="J4">
        <f t="shared" si="4"/>
        <v>5.2587292149344922</v>
      </c>
    </row>
    <row r="5" spans="1:10" x14ac:dyDescent="0.25">
      <c r="A5" t="s">
        <v>61</v>
      </c>
      <c r="B5" s="24">
        <v>91265.5</v>
      </c>
      <c r="C5">
        <f t="shared" si="0"/>
        <v>0.5246806634818445</v>
      </c>
      <c r="D5" s="21">
        <f t="shared" si="1"/>
        <v>10.49361326963689</v>
      </c>
      <c r="E5" s="18">
        <f t="shared" si="2"/>
        <v>1.0512189121030075E-2</v>
      </c>
      <c r="G5">
        <v>0.4</v>
      </c>
      <c r="H5" s="20">
        <v>20321.900000000001</v>
      </c>
      <c r="I5">
        <f t="shared" si="3"/>
        <v>0.28225281747414893</v>
      </c>
      <c r="J5">
        <f t="shared" si="4"/>
        <v>5.6450563494829789</v>
      </c>
    </row>
    <row r="6" spans="1:10" x14ac:dyDescent="0.25">
      <c r="A6" t="s">
        <v>62</v>
      </c>
      <c r="B6">
        <v>109894.9</v>
      </c>
      <c r="C6">
        <f t="shared" si="0"/>
        <v>0.58834088532589746</v>
      </c>
      <c r="D6" s="21">
        <f t="shared" si="1"/>
        <v>11.76681770651795</v>
      </c>
      <c r="E6" s="18">
        <f t="shared" si="2"/>
        <v>9.2389846841490156E-3</v>
      </c>
      <c r="G6">
        <v>0.2</v>
      </c>
      <c r="H6" s="20">
        <v>21503.1</v>
      </c>
      <c r="I6">
        <f t="shared" si="3"/>
        <v>0.28628920372610533</v>
      </c>
      <c r="J6">
        <f t="shared" si="4"/>
        <v>5.7257840745221067</v>
      </c>
    </row>
    <row r="7" spans="1:10" x14ac:dyDescent="0.25">
      <c r="E7" s="21"/>
    </row>
    <row r="8" spans="1:10" x14ac:dyDescent="0.25">
      <c r="A8" t="s">
        <v>63</v>
      </c>
      <c r="B8">
        <v>245078.8</v>
      </c>
      <c r="C8">
        <f t="shared" ref="C8" si="5">(B8+62276)/292638</f>
        <v>1.0502901195333483</v>
      </c>
      <c r="D8" s="21">
        <f t="shared" ref="D8" si="6">C8*20</f>
        <v>21.005802390666965</v>
      </c>
      <c r="E8" s="16">
        <f>0.001*D8</f>
        <v>2.1005802390666965E-2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C20" sqref="C20"/>
    </sheetView>
  </sheetViews>
  <sheetFormatPr defaultRowHeight="15" x14ac:dyDescent="0.25"/>
  <cols>
    <col min="1" max="1" width="46" style="28" customWidth="1"/>
    <col min="2" max="3" width="12" bestFit="1" customWidth="1"/>
    <col min="4" max="4" width="12.140625" bestFit="1" customWidth="1"/>
    <col min="5" max="5" width="11.28515625" bestFit="1" customWidth="1"/>
    <col min="6" max="6" width="12.42578125" bestFit="1" customWidth="1"/>
    <col min="7" max="21" width="12.140625" bestFit="1" customWidth="1"/>
  </cols>
  <sheetData>
    <row r="1" spans="1:21" x14ac:dyDescent="0.25">
      <c r="A1" s="27" t="s">
        <v>52</v>
      </c>
    </row>
    <row r="2" spans="1:21" s="30" customFormat="1" x14ac:dyDescent="0.25">
      <c r="A2" s="36" t="s">
        <v>31</v>
      </c>
      <c r="B2" s="32" t="s">
        <v>50</v>
      </c>
      <c r="C2" s="32" t="s">
        <v>53</v>
      </c>
      <c r="D2" s="30" t="s">
        <v>51</v>
      </c>
      <c r="E2" s="30" t="s">
        <v>56</v>
      </c>
    </row>
    <row r="3" spans="1:21" s="26" customFormat="1" x14ac:dyDescent="0.25">
      <c r="A3" s="37"/>
      <c r="B3" s="25">
        <f>'Dilution and Order Results'!M2</f>
        <v>17.502952453201569</v>
      </c>
      <c r="C3" s="25">
        <f>'Dilution and Order Results'!N2</f>
        <v>18.703155434359175</v>
      </c>
      <c r="D3" s="25">
        <f>'Varying PEI Results'!E7</f>
        <v>17.384741557829127</v>
      </c>
      <c r="E3" s="25">
        <f>'Diluted HCl Results'!D8</f>
        <v>21.005802390666965</v>
      </c>
    </row>
    <row r="4" spans="1:21" s="30" customFormat="1" x14ac:dyDescent="0.25">
      <c r="A4" s="34" t="s">
        <v>44</v>
      </c>
      <c r="B4" s="32" t="s">
        <v>50</v>
      </c>
      <c r="C4" s="32" t="s">
        <v>53</v>
      </c>
    </row>
    <row r="5" spans="1:21" s="26" customFormat="1" x14ac:dyDescent="0.25">
      <c r="A5" s="35"/>
      <c r="B5" s="25">
        <f>'Dilution and Order Results'!M4</f>
        <v>8.3979421674560388</v>
      </c>
      <c r="C5" s="25">
        <f>'Dilution and Order Results'!N4</f>
        <v>10.44143959431106</v>
      </c>
    </row>
    <row r="6" spans="1:21" s="31" customFormat="1" x14ac:dyDescent="0.25">
      <c r="A6" s="34" t="s">
        <v>45</v>
      </c>
      <c r="B6" s="32" t="s">
        <v>50</v>
      </c>
      <c r="C6" s="32" t="s">
        <v>53</v>
      </c>
      <c r="E6" s="32" t="s">
        <v>56</v>
      </c>
      <c r="F6" s="32" t="s">
        <v>56</v>
      </c>
      <c r="G6" s="32" t="s">
        <v>56</v>
      </c>
      <c r="H6" s="32" t="s">
        <v>56</v>
      </c>
      <c r="I6" s="32" t="s">
        <v>56</v>
      </c>
      <c r="K6" s="32" t="s">
        <v>65</v>
      </c>
      <c r="L6" s="32" t="s">
        <v>65</v>
      </c>
      <c r="M6" s="32" t="s">
        <v>65</v>
      </c>
      <c r="N6" s="32" t="s">
        <v>65</v>
      </c>
      <c r="O6" s="32" t="s">
        <v>65</v>
      </c>
      <c r="Q6" s="32" t="s">
        <v>66</v>
      </c>
      <c r="R6" s="32" t="s">
        <v>66</v>
      </c>
      <c r="S6" s="32" t="s">
        <v>66</v>
      </c>
      <c r="T6" s="32" t="s">
        <v>66</v>
      </c>
      <c r="U6" s="32" t="s">
        <v>66</v>
      </c>
    </row>
    <row r="7" spans="1:21" s="26" customFormat="1" x14ac:dyDescent="0.25">
      <c r="A7" s="35"/>
      <c r="B7" s="25">
        <f>'Dilution and Order Results'!M3</f>
        <v>15.537049187050211</v>
      </c>
      <c r="C7" s="25">
        <f>'Dilution and Order Results'!N3</f>
        <v>16.8857154573227</v>
      </c>
      <c r="E7" s="25">
        <f>'HCl Results'!D2</f>
        <v>9.3113949657939159</v>
      </c>
      <c r="F7" s="25">
        <f>'HCl Results'!D3</f>
        <v>9.4516159897210894</v>
      </c>
      <c r="G7" s="25">
        <f>'HCl Results'!D4</f>
        <v>8.8554869839186985</v>
      </c>
      <c r="H7" s="25">
        <f>'HCl Results'!D5</f>
        <v>7.5694885831641825</v>
      </c>
      <c r="I7" s="25">
        <f>'HCl Results'!D6</f>
        <v>7.8641803183455323</v>
      </c>
      <c r="K7" s="25">
        <f>'Diluted HCl Results'!D2</f>
        <v>18.594871479438758</v>
      </c>
      <c r="L7" s="25">
        <f>'Diluted HCl Results'!D3</f>
        <v>16.885824807441278</v>
      </c>
      <c r="M7" s="25">
        <f>'Diluted HCl Results'!D4</f>
        <v>18.280168672557902</v>
      </c>
      <c r="N7" s="25">
        <f>'Diluted HCl Results'!D5</f>
        <v>18.587859403085041</v>
      </c>
      <c r="O7" s="25">
        <f>'Diluted HCl Results'!D6</f>
        <v>17.758807810332222</v>
      </c>
      <c r="Q7" s="25">
        <f>'HCl &amp; Water Results'!D2</f>
        <v>9.9148640983057561</v>
      </c>
      <c r="R7" s="25">
        <f>'HCl &amp; Water Results'!D3</f>
        <v>12.564957387625668</v>
      </c>
      <c r="S7" s="25">
        <f>'HCl &amp; Water Results'!D4</f>
        <v>10.946001544570425</v>
      </c>
      <c r="T7" s="25">
        <f>'HCl &amp; Water Results'!D5</f>
        <v>10.49361326963689</v>
      </c>
      <c r="U7" s="25">
        <f>'HCl &amp; Water Results'!D6</f>
        <v>11.76681770651795</v>
      </c>
    </row>
    <row r="8" spans="1:21" s="30" customFormat="1" x14ac:dyDescent="0.25">
      <c r="A8" s="34" t="s">
        <v>46</v>
      </c>
      <c r="B8" s="32" t="str">
        <f>CONCATENATE('Varying PEI Results'!A6," g/ml")</f>
        <v>0.025 g/ml</v>
      </c>
      <c r="C8" s="32" t="str">
        <f>CONCATENATE('Varying PEI Results'!A5," g/ml")</f>
        <v>0.05 g/ml</v>
      </c>
      <c r="D8" s="32" t="str">
        <f>CONCATENATE('Varying PEI Results'!A4," g/ml")</f>
        <v>0.1 g/ml</v>
      </c>
      <c r="E8" s="32" t="str">
        <f>CONCATENATE('Varying PEI Results'!A3," g/ml")</f>
        <v>0.25 g/ml</v>
      </c>
      <c r="F8" s="32" t="str">
        <f>CONCATENATE('Varying PEI Results'!A2," g/ml")</f>
        <v>0.5 g/ml</v>
      </c>
    </row>
    <row r="9" spans="1:21" s="26" customFormat="1" x14ac:dyDescent="0.25">
      <c r="A9" s="35"/>
      <c r="B9" s="25">
        <f>'Varying PEI Results'!$E6</f>
        <v>16.279902131643873</v>
      </c>
      <c r="C9" s="25">
        <f>'Varying PEI Results'!$E5</f>
        <v>16.245320156644045</v>
      </c>
      <c r="D9" s="25">
        <f>'Varying PEI Results'!$E4</f>
        <v>15.239633950478064</v>
      </c>
      <c r="E9" s="25">
        <f>'Varying PEI Results'!$E3</f>
        <v>14.941777896240406</v>
      </c>
      <c r="F9" s="25">
        <f>'Varying PEI Results'!$E2</f>
        <v>12.819292094669866</v>
      </c>
    </row>
    <row r="10" spans="1:21" s="29" customFormat="1" x14ac:dyDescent="0.25">
      <c r="A10" s="34" t="s">
        <v>47</v>
      </c>
      <c r="B10" s="32" t="str">
        <f>CONCATENATE('HCl Results'!G2," ml")</f>
        <v>1.5 ml</v>
      </c>
      <c r="C10" s="32" t="str">
        <f>CONCATENATE('HCl Results'!G3," ml")</f>
        <v>1 ml</v>
      </c>
      <c r="D10" s="32" t="str">
        <f>CONCATENATE('HCl Results'!G4," ml")</f>
        <v>0.75 ml</v>
      </c>
    </row>
    <row r="11" spans="1:21" s="26" customFormat="1" x14ac:dyDescent="0.25">
      <c r="A11" s="35"/>
      <c r="B11" s="25">
        <f>'HCl Results'!I2</f>
        <v>0.27598842255619571</v>
      </c>
      <c r="C11" s="25">
        <f>'HCl Results'!I3</f>
        <v>0.28369213840991259</v>
      </c>
      <c r="D11" s="25">
        <f>'HCl Results'!I4</f>
        <v>0.29857810673938451</v>
      </c>
    </row>
    <row r="12" spans="1:21" s="30" customFormat="1" x14ac:dyDescent="0.25">
      <c r="A12" s="34" t="s">
        <v>48</v>
      </c>
      <c r="B12" s="32" t="str">
        <f>CONCATENATE('Diluted HCl Results'!G6," ml")</f>
        <v>0.2 ml</v>
      </c>
      <c r="C12" s="32" t="str">
        <f>CONCATENATE('Diluted HCl Results'!G5," ml")</f>
        <v>0.4 ml</v>
      </c>
      <c r="D12" s="30" t="str">
        <f>CONCATENATE('Diluted HCl Results'!G4," ml")</f>
        <v>0.6 ml</v>
      </c>
      <c r="E12" s="30" t="str">
        <f>CONCATENATE('Diluted HCl Results'!G3," ml")</f>
        <v>0.8 ml</v>
      </c>
      <c r="F12" s="30" t="str">
        <f>CONCATENATE('Diluted HCl Results'!G2," ml")</f>
        <v>1 ml</v>
      </c>
    </row>
    <row r="13" spans="1:21" s="26" customFormat="1" x14ac:dyDescent="0.25">
      <c r="A13" s="35"/>
      <c r="B13" s="25">
        <f>'Diluted HCl Results'!J6</f>
        <v>4.5805466139052351</v>
      </c>
      <c r="C13" s="25">
        <f>'Diluted HCl Results'!J5</f>
        <v>4.6926373198285933</v>
      </c>
      <c r="D13" s="25">
        <f>'Diluted HCl Results'!J4</f>
        <v>4.6116908945523143</v>
      </c>
      <c r="E13" s="25">
        <f>'Diluted HCl Results'!J3</f>
        <v>4.6065582733616273</v>
      </c>
      <c r="F13" s="25">
        <f>'Diluted HCl Results'!J2</f>
        <v>4.5930603680998363</v>
      </c>
    </row>
    <row r="14" spans="1:21" s="30" customFormat="1" ht="15.75" customHeight="1" x14ac:dyDescent="0.25">
      <c r="A14" s="34" t="s">
        <v>49</v>
      </c>
      <c r="B14" s="32" t="str">
        <f>CONCATENATE('HCl &amp; Water Results'!G6," ml")</f>
        <v>0.2 ml</v>
      </c>
      <c r="C14" s="32" t="str">
        <f>CONCATENATE('HCl &amp; Water Results'!G5," ml")</f>
        <v>0.4 ml</v>
      </c>
      <c r="D14" s="30" t="str">
        <f>CONCATENATE('HCl &amp; Water Results'!G4," ml")</f>
        <v>0.6 ml</v>
      </c>
      <c r="E14" s="30" t="str">
        <f>CONCATENATE('HCl &amp; Water Results'!G3," ml")</f>
        <v>0.8 ml</v>
      </c>
      <c r="F14" s="30" t="str">
        <f>CONCATENATE('HCl &amp; Water Results'!G2," ml")</f>
        <v>1 ml</v>
      </c>
    </row>
    <row r="15" spans="1:21" s="26" customFormat="1" x14ac:dyDescent="0.25">
      <c r="A15" s="35"/>
      <c r="B15" s="25">
        <f>'HCl &amp; Water Results'!J6</f>
        <v>5.7257840745221067</v>
      </c>
      <c r="C15" s="25">
        <f>'HCl &amp; Water Results'!J5</f>
        <v>5.6450563494829789</v>
      </c>
      <c r="D15" s="25">
        <f>'HCl &amp; Water Results'!J4</f>
        <v>5.2587292149344922</v>
      </c>
      <c r="E15" s="25">
        <f>'HCl &amp; Water Results'!J3</f>
        <v>5.0913415209234616</v>
      </c>
      <c r="F15" s="25">
        <f>'HCl &amp; Water Results'!J2</f>
        <v>5.2672995304779295</v>
      </c>
    </row>
  </sheetData>
  <mergeCells count="7">
    <mergeCell ref="A14:A1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L6" sqref="L6"/>
    </sheetView>
  </sheetViews>
  <sheetFormatPr defaultRowHeight="15" x14ac:dyDescent="0.25"/>
  <cols>
    <col min="1" max="1" width="11.85546875" customWidth="1"/>
    <col min="4" max="4" width="3.28515625" customWidth="1"/>
    <col min="5" max="6" width="14.5703125" customWidth="1"/>
  </cols>
  <sheetData>
    <row r="1" spans="1:7" s="6" customFormat="1" ht="45" x14ac:dyDescent="0.25">
      <c r="A1" s="22" t="s">
        <v>3</v>
      </c>
      <c r="B1" s="4" t="s">
        <v>8</v>
      </c>
      <c r="C1" s="4" t="s">
        <v>19</v>
      </c>
      <c r="D1" s="4"/>
      <c r="E1" s="4" t="s">
        <v>42</v>
      </c>
      <c r="F1" s="4" t="s">
        <v>43</v>
      </c>
      <c r="G1" s="6" t="s">
        <v>35</v>
      </c>
    </row>
    <row r="2" spans="1:7" x14ac:dyDescent="0.25">
      <c r="A2" s="5">
        <v>0</v>
      </c>
      <c r="B2" s="5">
        <v>15</v>
      </c>
      <c r="C2" s="2">
        <f t="shared" ref="C2" si="0">15-B2</f>
        <v>0</v>
      </c>
      <c r="D2" s="2"/>
      <c r="E2">
        <v>0.21299999999999999</v>
      </c>
      <c r="F2">
        <v>0</v>
      </c>
      <c r="G2">
        <v>171.94</v>
      </c>
    </row>
    <row r="3" spans="1:7" x14ac:dyDescent="0.25">
      <c r="A3" s="1">
        <v>0.1</v>
      </c>
      <c r="B3" s="1">
        <f>15-(C3/1000)</f>
        <v>14.9985</v>
      </c>
      <c r="C3">
        <f>15*A3</f>
        <v>1.5</v>
      </c>
      <c r="E3">
        <v>0.30399999999999999</v>
      </c>
      <c r="F3">
        <v>26672.3</v>
      </c>
      <c r="G3">
        <v>177.97</v>
      </c>
    </row>
    <row r="4" spans="1:7" x14ac:dyDescent="0.25">
      <c r="A4" s="1">
        <v>1</v>
      </c>
      <c r="B4" s="1">
        <f t="shared" ref="B4:B7" si="1">15-(C4/1000)</f>
        <v>14.984999999999999</v>
      </c>
      <c r="C4">
        <f t="shared" ref="C4:C7" si="2">15*A4</f>
        <v>15</v>
      </c>
      <c r="E4">
        <v>1.143</v>
      </c>
      <c r="F4">
        <v>272170.7</v>
      </c>
      <c r="G4">
        <v>1868.96</v>
      </c>
    </row>
    <row r="5" spans="1:7" x14ac:dyDescent="0.25">
      <c r="A5" s="1">
        <v>10</v>
      </c>
      <c r="B5" s="1">
        <f t="shared" si="1"/>
        <v>14.85</v>
      </c>
      <c r="C5">
        <f t="shared" si="2"/>
        <v>150</v>
      </c>
      <c r="E5">
        <v>10.156000000000001</v>
      </c>
      <c r="F5">
        <v>2909606.9</v>
      </c>
      <c r="G5">
        <v>12695.47</v>
      </c>
    </row>
    <row r="6" spans="1:7" x14ac:dyDescent="0.25">
      <c r="A6" s="1">
        <v>50</v>
      </c>
      <c r="B6" s="1">
        <f t="shared" si="1"/>
        <v>14.25</v>
      </c>
      <c r="C6">
        <f t="shared" si="2"/>
        <v>750</v>
      </c>
      <c r="E6">
        <v>48.603999999999999</v>
      </c>
      <c r="F6">
        <v>14161119.1</v>
      </c>
      <c r="G6">
        <v>195098.96</v>
      </c>
    </row>
    <row r="7" spans="1:7" x14ac:dyDescent="0.25">
      <c r="A7" s="1">
        <v>100</v>
      </c>
      <c r="B7" s="1">
        <f t="shared" si="1"/>
        <v>13.5</v>
      </c>
      <c r="C7">
        <f t="shared" si="2"/>
        <v>1500</v>
      </c>
      <c r="E7">
        <v>100.681</v>
      </c>
      <c r="F7">
        <v>29400711.399999999</v>
      </c>
      <c r="G7">
        <v>172993.82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8" zoomScaleNormal="98" workbookViewId="0">
      <selection activeCell="F14" sqref="F14"/>
    </sheetView>
  </sheetViews>
  <sheetFormatPr defaultRowHeight="15" x14ac:dyDescent="0.25"/>
  <cols>
    <col min="1" max="1" width="17.5703125" bestFit="1" customWidth="1"/>
    <col min="2" max="2" width="15.140625" customWidth="1"/>
    <col min="3" max="3" width="10.140625" customWidth="1"/>
    <col min="4" max="4" width="12.85546875" customWidth="1"/>
    <col min="5" max="5" width="7.140625" customWidth="1"/>
    <col min="7" max="7" width="9.140625" customWidth="1"/>
    <col min="10" max="10" width="10.42578125" customWidth="1"/>
    <col min="13" max="13" width="9.7109375" customWidth="1"/>
    <col min="14" max="14" width="9.85546875" customWidth="1"/>
  </cols>
  <sheetData>
    <row r="1" spans="1:14" s="17" customFormat="1" ht="60" x14ac:dyDescent="0.25">
      <c r="B1" s="17" t="s">
        <v>33</v>
      </c>
      <c r="C1" s="17" t="s">
        <v>35</v>
      </c>
      <c r="D1" s="17" t="s">
        <v>34</v>
      </c>
      <c r="E1" s="17" t="s">
        <v>35</v>
      </c>
      <c r="G1" s="17" t="s">
        <v>36</v>
      </c>
      <c r="H1" s="17" t="s">
        <v>37</v>
      </c>
      <c r="J1" s="17" t="s">
        <v>70</v>
      </c>
      <c r="K1" s="17" t="s">
        <v>71</v>
      </c>
      <c r="M1" s="17" t="s">
        <v>72</v>
      </c>
      <c r="N1" s="17" t="s">
        <v>73</v>
      </c>
    </row>
    <row r="2" spans="1:14" x14ac:dyDescent="0.25">
      <c r="A2" t="s">
        <v>31</v>
      </c>
      <c r="B2">
        <v>0.35099999999999998</v>
      </c>
      <c r="C2">
        <v>3.9699999999999999E-2</v>
      </c>
      <c r="D2" s="16">
        <v>-1.37</v>
      </c>
      <c r="E2">
        <v>1.89E-2</v>
      </c>
      <c r="G2">
        <v>449926.9</v>
      </c>
      <c r="H2">
        <v>211386.7</v>
      </c>
      <c r="J2">
        <f>(G2+62276)/292638</f>
        <v>1.7502952453201568</v>
      </c>
      <c r="K2">
        <f>(H2+62276)/292638</f>
        <v>0.93515777171795877</v>
      </c>
      <c r="M2" s="21">
        <f>J2*10</f>
        <v>17.502952453201569</v>
      </c>
      <c r="N2" s="21">
        <f>K2*20</f>
        <v>18.703155434359175</v>
      </c>
    </row>
    <row r="3" spans="1:14" x14ac:dyDescent="0.25">
      <c r="A3" s="2" t="s">
        <v>67</v>
      </c>
      <c r="B3">
        <v>-0.115</v>
      </c>
      <c r="C3">
        <v>3.6600000000000001E-2</v>
      </c>
      <c r="D3">
        <v>-1.591</v>
      </c>
      <c r="E3" s="18">
        <v>5.0000000000000001E-3</v>
      </c>
      <c r="G3">
        <v>392397.1</v>
      </c>
      <c r="H3">
        <v>184794.1</v>
      </c>
      <c r="J3">
        <f t="shared" ref="J3:J4" si="0">(G3+62276)/292638</f>
        <v>1.5537049187050211</v>
      </c>
      <c r="K3">
        <f t="shared" ref="K3:K4" si="1">(H3+62276)/292638</f>
        <v>0.84428577286613493</v>
      </c>
      <c r="M3" s="21">
        <f t="shared" ref="M3:M4" si="2">J3*10</f>
        <v>15.537049187050211</v>
      </c>
      <c r="N3" s="21">
        <f t="shared" ref="N3:N4" si="3">K3*20</f>
        <v>16.8857154573227</v>
      </c>
    </row>
    <row r="4" spans="1:14" x14ac:dyDescent="0.25">
      <c r="A4" t="s">
        <v>30</v>
      </c>
      <c r="B4">
        <v>-1.679</v>
      </c>
      <c r="C4">
        <v>8.6E-3</v>
      </c>
      <c r="D4">
        <v>-2.2669999999999999</v>
      </c>
      <c r="E4">
        <v>4.4000000000000003E-3</v>
      </c>
      <c r="G4">
        <v>183479.7</v>
      </c>
      <c r="H4">
        <v>90502.1</v>
      </c>
      <c r="J4">
        <f t="shared" si="0"/>
        <v>0.83979421674560384</v>
      </c>
      <c r="K4">
        <f t="shared" si="1"/>
        <v>0.52207197971555297</v>
      </c>
      <c r="M4" s="21">
        <f t="shared" si="2"/>
        <v>8.3979421674560388</v>
      </c>
      <c r="N4" s="21">
        <f t="shared" si="3"/>
        <v>10.44143959431106</v>
      </c>
    </row>
    <row r="8" spans="1:14" x14ac:dyDescent="0.25">
      <c r="A8" s="10" t="s">
        <v>38</v>
      </c>
      <c r="B8" t="s">
        <v>39</v>
      </c>
      <c r="C8" t="s">
        <v>35</v>
      </c>
      <c r="D8" t="s">
        <v>40</v>
      </c>
    </row>
    <row r="9" spans="1:14" x14ac:dyDescent="0.25">
      <c r="A9" s="19">
        <v>0</v>
      </c>
      <c r="B9">
        <v>0</v>
      </c>
      <c r="C9">
        <v>112.03</v>
      </c>
      <c r="D9">
        <v>-2.6230000000000002</v>
      </c>
    </row>
    <row r="10" spans="1:14" x14ac:dyDescent="0.25">
      <c r="A10" s="20">
        <v>0.1</v>
      </c>
      <c r="B10">
        <v>32989.300000000003</v>
      </c>
      <c r="C10">
        <v>152.24</v>
      </c>
      <c r="D10">
        <v>-2.5009999999999999</v>
      </c>
    </row>
    <row r="11" spans="1:14" x14ac:dyDescent="0.25">
      <c r="A11" s="20">
        <v>1</v>
      </c>
      <c r="B11">
        <v>328775.7</v>
      </c>
      <c r="C11">
        <v>2884.85</v>
      </c>
      <c r="D11">
        <v>-1.407</v>
      </c>
    </row>
    <row r="12" spans="1:14" x14ac:dyDescent="0.25">
      <c r="A12" s="20">
        <v>50</v>
      </c>
      <c r="B12">
        <v>16986629.399999999</v>
      </c>
      <c r="C12" s="21">
        <v>189857.38</v>
      </c>
      <c r="D12">
        <v>60.156999999999996</v>
      </c>
    </row>
    <row r="13" spans="1:14" x14ac:dyDescent="0.25">
      <c r="A13" s="20">
        <v>200</v>
      </c>
      <c r="B13">
        <v>54141756.5</v>
      </c>
      <c r="C13" s="21">
        <v>168870.22</v>
      </c>
      <c r="D13">
        <v>197.47399999999999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E6" sqref="E6"/>
    </sheetView>
  </sheetViews>
  <sheetFormatPr defaultRowHeight="15" x14ac:dyDescent="0.25"/>
  <cols>
    <col min="1" max="1" width="11.28515625" bestFit="1" customWidth="1"/>
    <col min="3" max="3" width="11" bestFit="1" customWidth="1"/>
    <col min="4" max="4" width="6.28515625" customWidth="1"/>
    <col min="5" max="5" width="12.85546875" customWidth="1"/>
    <col min="8" max="8" width="12.85546875" customWidth="1"/>
    <col min="9" max="9" width="12.140625" customWidth="1"/>
    <col min="13" max="13" width="11" customWidth="1"/>
  </cols>
  <sheetData>
    <row r="1" spans="1:17" s="5" customFormat="1" ht="60" x14ac:dyDescent="0.25">
      <c r="A1" s="3" t="s">
        <v>3</v>
      </c>
      <c r="B1" s="4" t="s">
        <v>4</v>
      </c>
      <c r="C1" s="4" t="s">
        <v>10</v>
      </c>
      <c r="D1" s="4"/>
      <c r="E1" s="33" t="s">
        <v>1</v>
      </c>
      <c r="F1" s="33"/>
      <c r="G1" s="7" t="s">
        <v>6</v>
      </c>
      <c r="H1" s="4" t="s">
        <v>5</v>
      </c>
      <c r="I1" s="4" t="s">
        <v>7</v>
      </c>
      <c r="J1" s="4" t="s">
        <v>8</v>
      </c>
      <c r="L1" s="33" t="s">
        <v>11</v>
      </c>
      <c r="M1" s="33"/>
      <c r="N1" s="7" t="s">
        <v>6</v>
      </c>
      <c r="O1" s="4" t="s">
        <v>5</v>
      </c>
      <c r="P1" s="4" t="s">
        <v>7</v>
      </c>
      <c r="Q1" s="4" t="s">
        <v>8</v>
      </c>
    </row>
    <row r="2" spans="1:17" s="2" customFormat="1" x14ac:dyDescent="0.25">
      <c r="A2" s="5" t="s">
        <v>0</v>
      </c>
      <c r="B2" s="5">
        <v>15</v>
      </c>
      <c r="C2" s="2">
        <f t="shared" ref="C2" si="0">15-B2</f>
        <v>0</v>
      </c>
      <c r="E2" s="2" t="s">
        <v>9</v>
      </c>
      <c r="L2" s="2" t="s">
        <v>9</v>
      </c>
    </row>
    <row r="3" spans="1:17" x14ac:dyDescent="0.25">
      <c r="A3" s="1">
        <v>0.05</v>
      </c>
      <c r="B3" s="1">
        <f>15-(C3/1000)</f>
        <v>14.99925</v>
      </c>
      <c r="C3">
        <f>15*A3</f>
        <v>0.75</v>
      </c>
      <c r="D3" s="6"/>
      <c r="E3">
        <v>2.5000000000000001E-2</v>
      </c>
      <c r="F3" t="s">
        <v>2</v>
      </c>
      <c r="G3">
        <f>E3*H3</f>
        <v>0.05</v>
      </c>
      <c r="H3">
        <v>2</v>
      </c>
      <c r="I3">
        <v>1</v>
      </c>
      <c r="J3">
        <v>9</v>
      </c>
      <c r="L3">
        <v>2.5000000000000001E-2</v>
      </c>
      <c r="M3" t="s">
        <v>2</v>
      </c>
      <c r="N3">
        <f>L3*O3</f>
        <v>0.05</v>
      </c>
      <c r="O3">
        <v>2</v>
      </c>
      <c r="P3">
        <v>0.5</v>
      </c>
      <c r="Q3">
        <v>9.5</v>
      </c>
    </row>
    <row r="4" spans="1:17" x14ac:dyDescent="0.25">
      <c r="A4" s="1">
        <v>0.1</v>
      </c>
      <c r="B4" s="1">
        <f t="shared" ref="B4:B9" si="1">15-(C4/1000)</f>
        <v>14.9985</v>
      </c>
      <c r="C4">
        <f t="shared" ref="C4:C9" si="2">15*A4</f>
        <v>1.5</v>
      </c>
      <c r="D4" s="6"/>
      <c r="E4">
        <v>0.05</v>
      </c>
      <c r="F4" t="s">
        <v>2</v>
      </c>
      <c r="G4">
        <f t="shared" ref="G4:G7" si="3">E4*H4</f>
        <v>0.1</v>
      </c>
      <c r="H4">
        <v>2</v>
      </c>
      <c r="I4">
        <v>1</v>
      </c>
      <c r="J4">
        <v>9</v>
      </c>
      <c r="L4">
        <v>0.05</v>
      </c>
      <c r="M4" t="s">
        <v>2</v>
      </c>
      <c r="N4">
        <f t="shared" ref="N4:N7" si="4">L4*O4</f>
        <v>0.1</v>
      </c>
      <c r="O4">
        <v>2</v>
      </c>
      <c r="P4">
        <v>0.5</v>
      </c>
      <c r="Q4">
        <v>9.5</v>
      </c>
    </row>
    <row r="5" spans="1:17" x14ac:dyDescent="0.25">
      <c r="A5" s="1">
        <v>0.5</v>
      </c>
      <c r="B5" s="1">
        <f t="shared" si="1"/>
        <v>14.9925</v>
      </c>
      <c r="C5">
        <f t="shared" si="2"/>
        <v>7.5</v>
      </c>
      <c r="D5" s="6"/>
      <c r="E5">
        <v>0.1</v>
      </c>
      <c r="F5" t="s">
        <v>2</v>
      </c>
      <c r="G5">
        <f t="shared" si="3"/>
        <v>0.2</v>
      </c>
      <c r="H5">
        <v>2</v>
      </c>
      <c r="I5">
        <v>1</v>
      </c>
      <c r="J5">
        <v>9</v>
      </c>
      <c r="L5">
        <v>0.1</v>
      </c>
      <c r="M5" t="s">
        <v>2</v>
      </c>
      <c r="N5">
        <f t="shared" si="4"/>
        <v>0.2</v>
      </c>
      <c r="O5">
        <v>2</v>
      </c>
      <c r="P5">
        <v>0.5</v>
      </c>
      <c r="Q5">
        <v>9.5</v>
      </c>
    </row>
    <row r="6" spans="1:17" x14ac:dyDescent="0.25">
      <c r="A6" s="1">
        <v>1</v>
      </c>
      <c r="B6" s="1">
        <f t="shared" si="1"/>
        <v>14.984999999999999</v>
      </c>
      <c r="C6">
        <f t="shared" si="2"/>
        <v>15</v>
      </c>
      <c r="E6">
        <v>0.25</v>
      </c>
      <c r="F6" t="s">
        <v>2</v>
      </c>
      <c r="G6">
        <f t="shared" si="3"/>
        <v>0.5</v>
      </c>
      <c r="H6">
        <v>2</v>
      </c>
      <c r="I6">
        <v>1</v>
      </c>
      <c r="J6">
        <v>9</v>
      </c>
      <c r="L6">
        <v>0.25</v>
      </c>
      <c r="M6" t="s">
        <v>2</v>
      </c>
      <c r="N6">
        <f t="shared" si="4"/>
        <v>0.5</v>
      </c>
      <c r="O6">
        <v>2</v>
      </c>
      <c r="P6">
        <v>0.5</v>
      </c>
      <c r="Q6">
        <v>9.5</v>
      </c>
    </row>
    <row r="7" spans="1:17" x14ac:dyDescent="0.25">
      <c r="A7" s="1">
        <v>5</v>
      </c>
      <c r="B7" s="1">
        <f t="shared" si="1"/>
        <v>14.925000000000001</v>
      </c>
      <c r="C7">
        <f t="shared" si="2"/>
        <v>75</v>
      </c>
      <c r="E7">
        <v>0.5</v>
      </c>
      <c r="F7" t="s">
        <v>2</v>
      </c>
      <c r="G7">
        <f t="shared" si="3"/>
        <v>1</v>
      </c>
      <c r="H7">
        <v>2</v>
      </c>
      <c r="I7">
        <v>1</v>
      </c>
      <c r="J7">
        <v>9</v>
      </c>
      <c r="L7">
        <v>0.5</v>
      </c>
      <c r="M7" t="s">
        <v>2</v>
      </c>
      <c r="N7">
        <f t="shared" si="4"/>
        <v>1</v>
      </c>
      <c r="O7">
        <v>2</v>
      </c>
      <c r="P7">
        <v>0.5</v>
      </c>
      <c r="Q7">
        <v>9.5</v>
      </c>
    </row>
    <row r="8" spans="1:17" x14ac:dyDescent="0.25">
      <c r="A8" s="1">
        <v>10</v>
      </c>
      <c r="B8" s="1">
        <f t="shared" si="1"/>
        <v>14.85</v>
      </c>
      <c r="C8">
        <f t="shared" si="2"/>
        <v>150</v>
      </c>
    </row>
    <row r="9" spans="1:17" x14ac:dyDescent="0.25">
      <c r="A9" s="1">
        <v>20</v>
      </c>
      <c r="B9" s="1">
        <f t="shared" si="1"/>
        <v>14.7</v>
      </c>
      <c r="C9">
        <f t="shared" si="2"/>
        <v>300</v>
      </c>
      <c r="K9" t="s">
        <v>12</v>
      </c>
    </row>
    <row r="10" spans="1:17" x14ac:dyDescent="0.25">
      <c r="I10">
        <v>2.5000000000000001E-2</v>
      </c>
      <c r="J10" t="s">
        <v>2</v>
      </c>
      <c r="K10">
        <f>I10*L10</f>
        <v>7.5000000000000011E-2</v>
      </c>
      <c r="L10">
        <v>3</v>
      </c>
    </row>
    <row r="11" spans="1:17" x14ac:dyDescent="0.25">
      <c r="I11">
        <v>0.05</v>
      </c>
      <c r="J11" t="s">
        <v>2</v>
      </c>
      <c r="K11">
        <f t="shared" ref="K11:K14" si="5">I11*L11</f>
        <v>0.15000000000000002</v>
      </c>
      <c r="L11">
        <v>3</v>
      </c>
    </row>
    <row r="12" spans="1:17" x14ac:dyDescent="0.25">
      <c r="I12">
        <v>0.1</v>
      </c>
      <c r="J12" t="s">
        <v>2</v>
      </c>
      <c r="K12">
        <f t="shared" si="5"/>
        <v>0.30000000000000004</v>
      </c>
      <c r="L12">
        <v>3</v>
      </c>
    </row>
    <row r="13" spans="1:17" x14ac:dyDescent="0.25">
      <c r="I13">
        <v>0.25</v>
      </c>
      <c r="J13" t="s">
        <v>2</v>
      </c>
      <c r="K13">
        <f t="shared" si="5"/>
        <v>0.75</v>
      </c>
      <c r="L13">
        <v>3</v>
      </c>
    </row>
    <row r="14" spans="1:17" x14ac:dyDescent="0.25">
      <c r="I14">
        <v>0.5</v>
      </c>
      <c r="J14" t="s">
        <v>2</v>
      </c>
      <c r="K14">
        <f t="shared" si="5"/>
        <v>1.5</v>
      </c>
      <c r="L14">
        <v>3</v>
      </c>
    </row>
  </sheetData>
  <mergeCells count="2">
    <mergeCell ref="E1:F1"/>
    <mergeCell ref="L1:M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15" sqref="E15"/>
    </sheetView>
  </sheetViews>
  <sheetFormatPr defaultRowHeight="15" x14ac:dyDescent="0.25"/>
  <cols>
    <col min="1" max="1" width="20.42578125" customWidth="1"/>
    <col min="2" max="3" width="11.140625" customWidth="1"/>
    <col min="4" max="4" width="14.42578125" customWidth="1"/>
    <col min="5" max="5" width="11.28515625" customWidth="1"/>
  </cols>
  <sheetData>
    <row r="1" spans="1:10" ht="58.5" x14ac:dyDescent="0.25">
      <c r="A1" s="12" t="s">
        <v>14</v>
      </c>
      <c r="B1" s="13" t="s">
        <v>13</v>
      </c>
      <c r="C1" s="8"/>
      <c r="D1" s="8" t="s">
        <v>54</v>
      </c>
      <c r="E1" s="23" t="s">
        <v>55</v>
      </c>
    </row>
    <row r="2" spans="1:10" x14ac:dyDescent="0.25">
      <c r="A2">
        <v>0.5</v>
      </c>
      <c r="B2">
        <v>125294.6</v>
      </c>
      <c r="D2">
        <f>(B2+62276)/292638</f>
        <v>0.64096460473349326</v>
      </c>
      <c r="E2">
        <f>D2*20</f>
        <v>12.819292094669866</v>
      </c>
      <c r="J2" s="21"/>
    </row>
    <row r="3" spans="1:10" x14ac:dyDescent="0.25">
      <c r="A3">
        <v>0.25</v>
      </c>
      <c r="B3">
        <v>156350.6</v>
      </c>
      <c r="D3">
        <f t="shared" ref="D3:D7" si="0">(B3+62276)/292638</f>
        <v>0.74708889481202034</v>
      </c>
      <c r="E3">
        <f t="shared" ref="E3:E7" si="1">D3*20</f>
        <v>14.941777896240406</v>
      </c>
      <c r="J3" s="21"/>
    </row>
    <row r="4" spans="1:10" x14ac:dyDescent="0.25">
      <c r="A4">
        <v>0.1</v>
      </c>
      <c r="B4">
        <v>160708.79999999999</v>
      </c>
      <c r="D4">
        <f t="shared" si="0"/>
        <v>0.76198169752390321</v>
      </c>
      <c r="E4">
        <f t="shared" si="1"/>
        <v>15.239633950478064</v>
      </c>
      <c r="J4" s="21"/>
    </row>
    <row r="5" spans="1:10" x14ac:dyDescent="0.25">
      <c r="A5">
        <v>0.05</v>
      </c>
      <c r="B5">
        <v>175423.9</v>
      </c>
      <c r="D5">
        <f t="shared" si="0"/>
        <v>0.81226600783220226</v>
      </c>
      <c r="E5">
        <f t="shared" si="1"/>
        <v>16.245320156644045</v>
      </c>
      <c r="J5" s="21"/>
    </row>
    <row r="6" spans="1:10" x14ac:dyDescent="0.25">
      <c r="A6">
        <v>2.5000000000000001E-2</v>
      </c>
      <c r="B6">
        <v>175929.9</v>
      </c>
      <c r="D6">
        <f t="shared" si="0"/>
        <v>0.81399510658219365</v>
      </c>
      <c r="E6">
        <f t="shared" si="1"/>
        <v>16.279902131643873</v>
      </c>
      <c r="J6" s="21"/>
    </row>
    <row r="7" spans="1:10" x14ac:dyDescent="0.25">
      <c r="A7" s="20">
        <v>0</v>
      </c>
      <c r="B7">
        <v>192095.8</v>
      </c>
      <c r="D7">
        <f t="shared" si="0"/>
        <v>0.86923707789145632</v>
      </c>
      <c r="E7">
        <f t="shared" si="1"/>
        <v>17.384741557829127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H1" workbookViewId="0">
      <selection activeCell="H8" sqref="H8:H11"/>
    </sheetView>
  </sheetViews>
  <sheetFormatPr defaultRowHeight="15" x14ac:dyDescent="0.25"/>
  <cols>
    <col min="1" max="1" width="12" customWidth="1"/>
    <col min="9" max="9" width="10.28515625" customWidth="1"/>
    <col min="10" max="10" width="13" customWidth="1"/>
    <col min="13" max="13" width="11" customWidth="1"/>
    <col min="14" max="14" width="13.28515625" customWidth="1"/>
  </cols>
  <sheetData>
    <row r="1" spans="1:15" x14ac:dyDescent="0.25">
      <c r="A1" s="11" t="s">
        <v>20</v>
      </c>
    </row>
    <row r="2" spans="1:15" x14ac:dyDescent="0.25">
      <c r="A2" s="11" t="s">
        <v>21</v>
      </c>
    </row>
    <row r="3" spans="1:15" x14ac:dyDescent="0.25">
      <c r="A3" s="10" t="s">
        <v>22</v>
      </c>
    </row>
    <row r="6" spans="1:15" s="6" customFormat="1" ht="45" x14ac:dyDescent="0.25">
      <c r="A6" s="9" t="s">
        <v>3</v>
      </c>
      <c r="B6" s="4" t="s">
        <v>8</v>
      </c>
      <c r="C6" s="4" t="s">
        <v>19</v>
      </c>
      <c r="D6" s="4"/>
      <c r="F6" s="33" t="s">
        <v>11</v>
      </c>
      <c r="G6" s="33"/>
      <c r="H6" s="4" t="s">
        <v>6</v>
      </c>
      <c r="I6" s="4" t="s">
        <v>18</v>
      </c>
      <c r="J6" s="4" t="s">
        <v>17</v>
      </c>
      <c r="K6" s="4" t="s">
        <v>8</v>
      </c>
      <c r="M6" s="4" t="s">
        <v>15</v>
      </c>
      <c r="N6" s="4" t="s">
        <v>16</v>
      </c>
      <c r="O6" s="4" t="s">
        <v>8</v>
      </c>
    </row>
    <row r="7" spans="1:15" x14ac:dyDescent="0.25">
      <c r="A7" s="5" t="s">
        <v>0</v>
      </c>
      <c r="B7" s="5">
        <v>15</v>
      </c>
      <c r="C7" s="2">
        <f t="shared" ref="C7" si="0">15-B7</f>
        <v>0</v>
      </c>
      <c r="D7" s="2"/>
      <c r="F7" s="2" t="s">
        <v>9</v>
      </c>
      <c r="G7" s="2"/>
      <c r="H7" s="2">
        <v>0</v>
      </c>
      <c r="I7" s="2">
        <v>0</v>
      </c>
      <c r="J7" s="2">
        <v>0.5</v>
      </c>
      <c r="K7" s="2">
        <v>9.5</v>
      </c>
      <c r="M7" s="2"/>
      <c r="N7" s="2"/>
      <c r="O7" s="2"/>
    </row>
    <row r="8" spans="1:15" x14ac:dyDescent="0.25">
      <c r="A8" s="1">
        <v>0.1</v>
      </c>
      <c r="B8" s="1">
        <f>15-(C8/1000)</f>
        <v>14.9985</v>
      </c>
      <c r="C8">
        <f>15*A8</f>
        <v>1.5</v>
      </c>
      <c r="E8">
        <v>1</v>
      </c>
      <c r="F8">
        <v>0.5</v>
      </c>
      <c r="G8" t="s">
        <v>2</v>
      </c>
      <c r="H8">
        <f>F8*I8</f>
        <v>1</v>
      </c>
      <c r="I8">
        <v>2</v>
      </c>
      <c r="J8">
        <v>0.5</v>
      </c>
      <c r="K8">
        <v>9.5</v>
      </c>
      <c r="M8">
        <v>1.5</v>
      </c>
      <c r="N8">
        <v>0.5</v>
      </c>
      <c r="O8">
        <v>9.5</v>
      </c>
    </row>
    <row r="9" spans="1:15" x14ac:dyDescent="0.25">
      <c r="A9" s="1">
        <v>1</v>
      </c>
      <c r="B9" s="1">
        <f t="shared" ref="B9:B12" si="1">15-(C9/1000)</f>
        <v>14.984999999999999</v>
      </c>
      <c r="C9">
        <f t="shared" ref="C9:C12" si="2">15*A9</f>
        <v>15</v>
      </c>
      <c r="E9">
        <v>2</v>
      </c>
      <c r="F9">
        <v>0.5</v>
      </c>
      <c r="G9" t="s">
        <v>2</v>
      </c>
      <c r="H9">
        <f t="shared" ref="H9:H11" si="3">F9*I9</f>
        <v>1</v>
      </c>
      <c r="I9">
        <v>2</v>
      </c>
      <c r="J9">
        <v>0.5</v>
      </c>
      <c r="K9">
        <v>9.5</v>
      </c>
      <c r="M9">
        <v>1</v>
      </c>
      <c r="N9">
        <v>0.5</v>
      </c>
      <c r="O9">
        <v>9.5</v>
      </c>
    </row>
    <row r="10" spans="1:15" x14ac:dyDescent="0.25">
      <c r="A10" s="1">
        <v>10</v>
      </c>
      <c r="B10" s="1">
        <f t="shared" si="1"/>
        <v>14.85</v>
      </c>
      <c r="C10">
        <f t="shared" si="2"/>
        <v>150</v>
      </c>
      <c r="E10">
        <v>3</v>
      </c>
      <c r="F10">
        <v>0.5</v>
      </c>
      <c r="G10" t="s">
        <v>2</v>
      </c>
      <c r="H10">
        <f t="shared" si="3"/>
        <v>1</v>
      </c>
      <c r="I10">
        <v>2</v>
      </c>
      <c r="J10">
        <v>0.5</v>
      </c>
      <c r="K10">
        <v>9.5</v>
      </c>
      <c r="M10">
        <v>0.75</v>
      </c>
      <c r="N10">
        <v>0.5</v>
      </c>
      <c r="O10">
        <v>9.5</v>
      </c>
    </row>
    <row r="11" spans="1:15" x14ac:dyDescent="0.25">
      <c r="A11" s="1">
        <v>50</v>
      </c>
      <c r="B11" s="1">
        <f t="shared" si="1"/>
        <v>14.25</v>
      </c>
      <c r="C11">
        <f t="shared" si="2"/>
        <v>750</v>
      </c>
      <c r="E11">
        <v>4</v>
      </c>
      <c r="F11">
        <v>0.5</v>
      </c>
      <c r="G11" t="s">
        <v>2</v>
      </c>
      <c r="H11">
        <f t="shared" si="3"/>
        <v>1</v>
      </c>
      <c r="I11">
        <v>2</v>
      </c>
      <c r="J11">
        <v>0.5</v>
      </c>
      <c r="K11">
        <v>9.5</v>
      </c>
      <c r="M11">
        <v>0.5</v>
      </c>
      <c r="N11">
        <v>0.5</v>
      </c>
      <c r="O11">
        <v>9.5</v>
      </c>
    </row>
    <row r="12" spans="1:15" x14ac:dyDescent="0.25">
      <c r="A12" s="1">
        <v>100</v>
      </c>
      <c r="B12" s="1">
        <f t="shared" si="1"/>
        <v>13.5</v>
      </c>
      <c r="C12">
        <f t="shared" si="2"/>
        <v>1500</v>
      </c>
      <c r="E12">
        <v>5</v>
      </c>
      <c r="F12">
        <v>0.5</v>
      </c>
      <c r="G12" t="s">
        <v>2</v>
      </c>
      <c r="H12">
        <v>2</v>
      </c>
      <c r="I12">
        <v>4</v>
      </c>
      <c r="J12">
        <v>0.5</v>
      </c>
      <c r="K12">
        <v>9.5</v>
      </c>
      <c r="M12">
        <v>0.1</v>
      </c>
      <c r="N12">
        <v>0.2</v>
      </c>
      <c r="O12">
        <v>3.8</v>
      </c>
    </row>
    <row r="13" spans="1:15" x14ac:dyDescent="0.25">
      <c r="A13" s="1"/>
      <c r="B13" s="1"/>
    </row>
    <row r="14" spans="1:15" x14ac:dyDescent="0.25">
      <c r="A14" s="1"/>
      <c r="B14" s="1"/>
    </row>
  </sheetData>
  <mergeCells count="1">
    <mergeCell ref="F6:G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3" sqref="C3"/>
    </sheetView>
  </sheetViews>
  <sheetFormatPr defaultRowHeight="15" x14ac:dyDescent="0.25"/>
  <cols>
    <col min="2" max="2" width="9.28515625" customWidth="1"/>
    <col min="6" max="6" width="4.5703125" customWidth="1"/>
  </cols>
  <sheetData>
    <row r="1" spans="1:10" x14ac:dyDescent="0.25">
      <c r="A1" t="s">
        <v>58</v>
      </c>
      <c r="B1" t="s">
        <v>13</v>
      </c>
      <c r="C1" t="s">
        <v>54</v>
      </c>
      <c r="E1" t="s">
        <v>68</v>
      </c>
      <c r="G1" t="s">
        <v>58</v>
      </c>
      <c r="H1" t="s">
        <v>13</v>
      </c>
      <c r="I1" t="s">
        <v>54</v>
      </c>
    </row>
    <row r="2" spans="1:10" x14ac:dyDescent="0.25">
      <c r="A2" t="s">
        <v>57</v>
      </c>
      <c r="B2">
        <v>73967.399999999994</v>
      </c>
      <c r="C2">
        <f>(B2+62276)/292638</f>
        <v>0.46556974828969577</v>
      </c>
      <c r="D2" s="21">
        <f>C2*20</f>
        <v>9.3113949657939159</v>
      </c>
      <c r="E2" s="18">
        <f>$E$8-(D2/1000)</f>
        <v>2.6906485145469835E-3</v>
      </c>
      <c r="G2">
        <v>1.5</v>
      </c>
      <c r="H2">
        <v>18488.7</v>
      </c>
      <c r="I2">
        <f>(H2+62276)/292638</f>
        <v>0.27598842255619571</v>
      </c>
      <c r="J2">
        <f>I2*20</f>
        <v>5.5197684511239142</v>
      </c>
    </row>
    <row r="3" spans="1:10" x14ac:dyDescent="0.25">
      <c r="A3" t="s">
        <v>59</v>
      </c>
      <c r="B3">
        <v>76019.100000000006</v>
      </c>
      <c r="C3">
        <f t="shared" ref="C3:C8" si="0">(B3+62276)/292638</f>
        <v>0.47258079948605447</v>
      </c>
      <c r="D3" s="21">
        <f t="shared" ref="D3:D8" si="1">C3*20</f>
        <v>9.4516159897210894</v>
      </c>
      <c r="E3" s="18">
        <f t="shared" ref="E3:E6" si="2">$E$8-(D3/1000)</f>
        <v>2.5504274906198096E-3</v>
      </c>
      <c r="G3">
        <v>1</v>
      </c>
      <c r="H3">
        <v>20743.099999999999</v>
      </c>
      <c r="I3">
        <f t="shared" ref="I3:I4" si="3">(H3+62276)/292638</f>
        <v>0.28369213840991259</v>
      </c>
      <c r="J3">
        <f t="shared" ref="J3:J4" si="4">I3*20</f>
        <v>5.6738427681982522</v>
      </c>
    </row>
    <row r="4" spans="1:10" x14ac:dyDescent="0.25">
      <c r="A4" t="s">
        <v>60</v>
      </c>
      <c r="B4">
        <v>67296.600000000006</v>
      </c>
      <c r="C4">
        <f t="shared" si="0"/>
        <v>0.44277434919593495</v>
      </c>
      <c r="D4" s="21">
        <f t="shared" si="1"/>
        <v>8.8554869839186985</v>
      </c>
      <c r="E4" s="18">
        <f t="shared" si="2"/>
        <v>3.1465564964222002E-3</v>
      </c>
      <c r="G4">
        <v>0.75</v>
      </c>
      <c r="H4">
        <v>25099.3</v>
      </c>
      <c r="I4">
        <f t="shared" si="3"/>
        <v>0.29857810673938451</v>
      </c>
      <c r="J4">
        <f t="shared" si="4"/>
        <v>5.9715621347876899</v>
      </c>
    </row>
    <row r="5" spans="1:10" x14ac:dyDescent="0.25">
      <c r="A5" t="s">
        <v>61</v>
      </c>
      <c r="B5" s="24">
        <v>48480</v>
      </c>
      <c r="C5">
        <f t="shared" si="0"/>
        <v>0.37847442915820911</v>
      </c>
      <c r="D5" s="21">
        <f t="shared" si="1"/>
        <v>7.5694885831641825</v>
      </c>
      <c r="E5" s="18">
        <f t="shared" si="2"/>
        <v>4.4325548971767166E-3</v>
      </c>
      <c r="G5">
        <v>0.5</v>
      </c>
      <c r="H5" s="20" t="s">
        <v>64</v>
      </c>
    </row>
    <row r="6" spans="1:10" x14ac:dyDescent="0.25">
      <c r="A6" t="s">
        <v>62</v>
      </c>
      <c r="B6">
        <v>52791.9</v>
      </c>
      <c r="C6">
        <f t="shared" si="0"/>
        <v>0.39320901591727664</v>
      </c>
      <c r="D6" s="21">
        <f t="shared" si="1"/>
        <v>7.8641803183455323</v>
      </c>
      <c r="E6" s="18">
        <f t="shared" si="2"/>
        <v>4.1378631619953671E-3</v>
      </c>
      <c r="G6">
        <v>0.1</v>
      </c>
      <c r="H6" s="20" t="s">
        <v>64</v>
      </c>
    </row>
    <row r="7" spans="1:10" x14ac:dyDescent="0.25">
      <c r="D7" s="21"/>
      <c r="E7" s="21"/>
    </row>
    <row r="8" spans="1:10" x14ac:dyDescent="0.25">
      <c r="A8" t="s">
        <v>63</v>
      </c>
      <c r="B8">
        <v>113336.7</v>
      </c>
      <c r="C8">
        <f t="shared" si="0"/>
        <v>0.60010217401704502</v>
      </c>
      <c r="D8" s="21">
        <f t="shared" si="1"/>
        <v>12.0020434803409</v>
      </c>
      <c r="E8" s="16">
        <f>0.001*D8</f>
        <v>1.2002043480340899E-2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17" sqref="I17"/>
    </sheetView>
  </sheetViews>
  <sheetFormatPr defaultRowHeight="15" x14ac:dyDescent="0.25"/>
  <cols>
    <col min="5" max="5" width="10.28515625" customWidth="1"/>
    <col min="6" max="6" width="11" customWidth="1"/>
    <col min="8" max="8" width="11.140625" customWidth="1"/>
    <col min="9" max="10" width="11" customWidth="1"/>
  </cols>
  <sheetData>
    <row r="1" spans="1:11" x14ac:dyDescent="0.25">
      <c r="A1" s="11" t="s">
        <v>20</v>
      </c>
    </row>
    <row r="2" spans="1:11" x14ac:dyDescent="0.25">
      <c r="A2" s="11" t="s">
        <v>21</v>
      </c>
    </row>
    <row r="3" spans="1:11" x14ac:dyDescent="0.25">
      <c r="A3" s="10" t="s">
        <v>22</v>
      </c>
    </row>
    <row r="6" spans="1:11" s="6" customFormat="1" ht="45" x14ac:dyDescent="0.25">
      <c r="B6" s="33" t="s">
        <v>25</v>
      </c>
      <c r="C6" s="33"/>
      <c r="D6" s="4" t="s">
        <v>8</v>
      </c>
      <c r="E6" s="4" t="s">
        <v>18</v>
      </c>
      <c r="F6" s="4" t="s">
        <v>24</v>
      </c>
      <c r="G6" s="4" t="s">
        <v>6</v>
      </c>
      <c r="H6" s="4" t="s">
        <v>23</v>
      </c>
      <c r="I6" s="4" t="s">
        <v>15</v>
      </c>
      <c r="J6" s="4" t="s">
        <v>32</v>
      </c>
      <c r="K6" s="4" t="s">
        <v>8</v>
      </c>
    </row>
    <row r="7" spans="1:11" x14ac:dyDescent="0.25">
      <c r="A7" s="2" t="s">
        <v>9</v>
      </c>
      <c r="D7" s="2">
        <f>E7*20-E7</f>
        <v>14.25</v>
      </c>
      <c r="E7" s="2">
        <f>15/20</f>
        <v>0.75</v>
      </c>
      <c r="F7" s="2"/>
      <c r="G7" s="2">
        <v>0</v>
      </c>
      <c r="H7" s="2"/>
      <c r="I7" s="2"/>
      <c r="J7" s="2"/>
      <c r="K7" s="2"/>
    </row>
    <row r="8" spans="1:11" x14ac:dyDescent="0.25">
      <c r="A8">
        <v>1</v>
      </c>
      <c r="B8">
        <v>0.5</v>
      </c>
      <c r="C8" t="s">
        <v>2</v>
      </c>
      <c r="D8" s="2">
        <f t="shared" ref="D8:D12" si="0">E8*20-E8</f>
        <v>28.5</v>
      </c>
      <c r="E8" s="2">
        <f t="shared" ref="E8:E12" si="1">30/20</f>
        <v>1.5</v>
      </c>
      <c r="F8">
        <v>20</v>
      </c>
      <c r="G8">
        <v>0.5</v>
      </c>
      <c r="I8">
        <v>1</v>
      </c>
      <c r="J8">
        <v>0.5</v>
      </c>
      <c r="K8">
        <f>J8*20-J8</f>
        <v>9.5</v>
      </c>
    </row>
    <row r="9" spans="1:11" x14ac:dyDescent="0.25">
      <c r="A9">
        <v>2</v>
      </c>
      <c r="B9">
        <v>0.5</v>
      </c>
      <c r="C9" t="s">
        <v>2</v>
      </c>
      <c r="D9" s="2">
        <f t="shared" si="0"/>
        <v>28.5</v>
      </c>
      <c r="E9" s="2">
        <f t="shared" si="1"/>
        <v>1.5</v>
      </c>
      <c r="F9">
        <v>20</v>
      </c>
      <c r="G9">
        <v>0.5</v>
      </c>
      <c r="I9">
        <v>0.8</v>
      </c>
      <c r="J9">
        <v>0.5</v>
      </c>
      <c r="K9">
        <f t="shared" ref="K9:K12" si="2">J9*20-J9</f>
        <v>9.5</v>
      </c>
    </row>
    <row r="10" spans="1:11" x14ac:dyDescent="0.25">
      <c r="A10">
        <v>3</v>
      </c>
      <c r="B10">
        <v>0.5</v>
      </c>
      <c r="C10" t="s">
        <v>2</v>
      </c>
      <c r="D10" s="2">
        <f t="shared" si="0"/>
        <v>28.5</v>
      </c>
      <c r="E10" s="2">
        <f t="shared" si="1"/>
        <v>1.5</v>
      </c>
      <c r="F10">
        <v>20</v>
      </c>
      <c r="G10">
        <v>0.5</v>
      </c>
      <c r="I10">
        <v>0.6</v>
      </c>
      <c r="J10">
        <v>0.5</v>
      </c>
      <c r="K10">
        <f t="shared" si="2"/>
        <v>9.5</v>
      </c>
    </row>
    <row r="11" spans="1:11" x14ac:dyDescent="0.25">
      <c r="A11">
        <v>4</v>
      </c>
      <c r="B11">
        <v>0.5</v>
      </c>
      <c r="C11" t="s">
        <v>2</v>
      </c>
      <c r="D11" s="2">
        <f t="shared" si="0"/>
        <v>28.5</v>
      </c>
      <c r="E11" s="2">
        <f t="shared" si="1"/>
        <v>1.5</v>
      </c>
      <c r="F11">
        <v>20</v>
      </c>
      <c r="G11">
        <v>0.5</v>
      </c>
      <c r="I11">
        <v>0.4</v>
      </c>
      <c r="J11">
        <v>0.3</v>
      </c>
      <c r="K11">
        <f t="shared" si="2"/>
        <v>5.7</v>
      </c>
    </row>
    <row r="12" spans="1:11" x14ac:dyDescent="0.25">
      <c r="A12">
        <v>5</v>
      </c>
      <c r="B12">
        <v>0.5</v>
      </c>
      <c r="C12" t="s">
        <v>2</v>
      </c>
      <c r="D12" s="2">
        <f t="shared" si="0"/>
        <v>28.5</v>
      </c>
      <c r="E12" s="2">
        <f t="shared" si="1"/>
        <v>1.5</v>
      </c>
      <c r="F12">
        <v>20</v>
      </c>
      <c r="G12">
        <v>0.5</v>
      </c>
      <c r="I12">
        <v>0.2</v>
      </c>
      <c r="J12">
        <v>0.15</v>
      </c>
      <c r="K12">
        <f t="shared" si="2"/>
        <v>2.85</v>
      </c>
    </row>
  </sheetData>
  <mergeCells count="1">
    <mergeCell ref="B6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F20" sqref="F20"/>
    </sheetView>
  </sheetViews>
  <sheetFormatPr defaultRowHeight="15" x14ac:dyDescent="0.25"/>
  <cols>
    <col min="10" max="10" width="9.5703125" bestFit="1" customWidth="1"/>
  </cols>
  <sheetData>
    <row r="1" spans="1:11" x14ac:dyDescent="0.25">
      <c r="A1" t="s">
        <v>58</v>
      </c>
      <c r="B1" t="s">
        <v>13</v>
      </c>
      <c r="C1" t="s">
        <v>54</v>
      </c>
      <c r="E1" t="s">
        <v>68</v>
      </c>
      <c r="G1" t="s">
        <v>58</v>
      </c>
      <c r="H1" t="s">
        <v>13</v>
      </c>
      <c r="I1" t="s">
        <v>54</v>
      </c>
      <c r="K1" t="s">
        <v>69</v>
      </c>
    </row>
    <row r="2" spans="1:11" x14ac:dyDescent="0.25">
      <c r="A2" t="s">
        <v>57</v>
      </c>
      <c r="B2">
        <v>209802.3</v>
      </c>
      <c r="C2">
        <f>(B2+62276)/292638</f>
        <v>0.92974357397193796</v>
      </c>
      <c r="D2" s="21">
        <f>C2*20</f>
        <v>18.594871479438758</v>
      </c>
      <c r="E2" s="18">
        <f>$E$8-(D2/1000)</f>
        <v>2.4109309112282061E-3</v>
      </c>
      <c r="G2">
        <v>1</v>
      </c>
      <c r="H2">
        <v>4929.2</v>
      </c>
      <c r="I2">
        <f>(H2+62276)/292638</f>
        <v>0.22965301840499183</v>
      </c>
      <c r="J2" s="21">
        <f>I2*20</f>
        <v>4.5930603680998363</v>
      </c>
      <c r="K2">
        <f>J2/1000</f>
        <v>4.5930603680998366E-3</v>
      </c>
    </row>
    <row r="3" spans="1:11" x14ac:dyDescent="0.25">
      <c r="A3" t="s">
        <v>59</v>
      </c>
      <c r="B3">
        <v>184795.7</v>
      </c>
      <c r="C3">
        <f t="shared" ref="C3:C8" si="0">(B3+62276)/292638</f>
        <v>0.84429124037206382</v>
      </c>
      <c r="D3" s="21">
        <f t="shared" ref="D3:D8" si="1">C3*20</f>
        <v>16.885824807441278</v>
      </c>
      <c r="E3" s="18">
        <f t="shared" ref="E3:E6" si="2">$E$8-(D3/1000)</f>
        <v>4.1199775832256869E-3</v>
      </c>
      <c r="G3">
        <v>0.8</v>
      </c>
      <c r="H3">
        <v>5126.7</v>
      </c>
      <c r="I3">
        <f t="shared" ref="I3:I6" si="3">(H3+62276)/292638</f>
        <v>0.23032791366808136</v>
      </c>
      <c r="J3" s="21">
        <f t="shared" ref="J3:J6" si="4">I3*20</f>
        <v>4.6065582733616273</v>
      </c>
      <c r="K3">
        <f t="shared" ref="K3:K6" si="5">J3/1000</f>
        <v>4.6065582733616269E-3</v>
      </c>
    </row>
    <row r="4" spans="1:11" x14ac:dyDescent="0.25">
      <c r="A4" t="s">
        <v>60</v>
      </c>
      <c r="B4">
        <v>205197.6</v>
      </c>
      <c r="C4">
        <f t="shared" si="0"/>
        <v>0.91400843362789519</v>
      </c>
      <c r="D4" s="21">
        <f t="shared" si="1"/>
        <v>18.280168672557902</v>
      </c>
      <c r="E4" s="18">
        <f t="shared" si="2"/>
        <v>2.7256337181090634E-3</v>
      </c>
      <c r="G4">
        <v>0.6</v>
      </c>
      <c r="H4">
        <v>5201.8</v>
      </c>
      <c r="I4">
        <f t="shared" si="3"/>
        <v>0.23058454472761569</v>
      </c>
      <c r="J4" s="21">
        <f t="shared" si="4"/>
        <v>4.6116908945523143</v>
      </c>
      <c r="K4">
        <f t="shared" si="5"/>
        <v>4.6116908945523141E-3</v>
      </c>
    </row>
    <row r="5" spans="1:11" x14ac:dyDescent="0.25">
      <c r="A5" t="s">
        <v>61</v>
      </c>
      <c r="B5" s="24">
        <v>209699.7</v>
      </c>
      <c r="C5">
        <f t="shared" si="0"/>
        <v>0.92939297015425204</v>
      </c>
      <c r="D5" s="21">
        <f t="shared" si="1"/>
        <v>18.587859403085041</v>
      </c>
      <c r="E5" s="18">
        <f t="shared" si="2"/>
        <v>2.4179429875819253E-3</v>
      </c>
      <c r="G5">
        <v>0.4</v>
      </c>
      <c r="H5" s="20">
        <v>6386.2</v>
      </c>
      <c r="I5">
        <f t="shared" si="3"/>
        <v>0.23463186599142968</v>
      </c>
      <c r="J5" s="21">
        <f t="shared" si="4"/>
        <v>4.6926373198285933</v>
      </c>
      <c r="K5">
        <f t="shared" si="5"/>
        <v>4.6926373198285937E-3</v>
      </c>
    </row>
    <row r="6" spans="1:11" x14ac:dyDescent="0.25">
      <c r="A6" t="s">
        <v>62</v>
      </c>
      <c r="B6">
        <v>197569.1</v>
      </c>
      <c r="C6">
        <f t="shared" si="0"/>
        <v>0.887940390516611</v>
      </c>
      <c r="D6" s="21">
        <f t="shared" si="1"/>
        <v>17.758807810332222</v>
      </c>
      <c r="E6" s="18">
        <f t="shared" si="2"/>
        <v>3.2469945803347416E-3</v>
      </c>
      <c r="G6">
        <v>0.2</v>
      </c>
      <c r="H6" s="20">
        <v>4746.1000000000004</v>
      </c>
      <c r="I6">
        <f t="shared" si="3"/>
        <v>0.22902733069526174</v>
      </c>
      <c r="J6" s="21">
        <f t="shared" si="4"/>
        <v>4.5805466139052351</v>
      </c>
      <c r="K6">
        <f t="shared" si="5"/>
        <v>4.5805466139052353E-3</v>
      </c>
    </row>
    <row r="7" spans="1:11" x14ac:dyDescent="0.25">
      <c r="D7" s="21"/>
      <c r="E7" s="21"/>
    </row>
    <row r="8" spans="1:11" x14ac:dyDescent="0.25">
      <c r="A8" t="s">
        <v>63</v>
      </c>
      <c r="B8">
        <v>245078.8</v>
      </c>
      <c r="C8">
        <f t="shared" si="0"/>
        <v>1.0502901195333483</v>
      </c>
      <c r="D8" s="21">
        <f t="shared" si="1"/>
        <v>21.005802390666965</v>
      </c>
      <c r="E8" s="16">
        <f>0.001*D8</f>
        <v>2.1005802390666965E-2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K17" sqref="K17"/>
    </sheetView>
  </sheetViews>
  <sheetFormatPr defaultRowHeight="15" x14ac:dyDescent="0.25"/>
  <cols>
    <col min="5" max="5" width="10.28515625" customWidth="1"/>
    <col min="6" max="6" width="13" customWidth="1"/>
    <col min="9" max="9" width="11" customWidth="1"/>
    <col min="11" max="11" width="12.28515625" customWidth="1"/>
    <col min="12" max="12" width="14.85546875" customWidth="1"/>
  </cols>
  <sheetData>
    <row r="1" spans="1:13" x14ac:dyDescent="0.25">
      <c r="A1" s="11" t="s">
        <v>20</v>
      </c>
    </row>
    <row r="2" spans="1:13" x14ac:dyDescent="0.25">
      <c r="A2" s="11" t="s">
        <v>21</v>
      </c>
    </row>
    <row r="3" spans="1:13" x14ac:dyDescent="0.25">
      <c r="A3" s="10" t="s">
        <v>22</v>
      </c>
    </row>
    <row r="6" spans="1:13" s="6" customFormat="1" ht="45" x14ac:dyDescent="0.25">
      <c r="B6" s="33" t="s">
        <v>11</v>
      </c>
      <c r="C6" s="33"/>
      <c r="D6" s="4" t="s">
        <v>6</v>
      </c>
      <c r="E6" s="4" t="s">
        <v>18</v>
      </c>
      <c r="F6" s="4" t="s">
        <v>17</v>
      </c>
      <c r="G6" s="4" t="s">
        <v>8</v>
      </c>
      <c r="I6" s="4" t="s">
        <v>26</v>
      </c>
      <c r="K6" s="4" t="s">
        <v>28</v>
      </c>
      <c r="L6" s="4" t="s">
        <v>27</v>
      </c>
      <c r="M6" s="4" t="s">
        <v>8</v>
      </c>
    </row>
    <row r="7" spans="1:13" x14ac:dyDescent="0.25">
      <c r="B7" s="2" t="s">
        <v>9</v>
      </c>
      <c r="C7" s="2"/>
      <c r="D7" s="2">
        <v>0</v>
      </c>
      <c r="E7" s="2">
        <v>0</v>
      </c>
      <c r="F7" s="2">
        <v>0.5</v>
      </c>
      <c r="G7" s="2">
        <v>9.5</v>
      </c>
      <c r="I7" s="2"/>
      <c r="K7" s="2"/>
      <c r="L7" s="2"/>
      <c r="M7" s="2"/>
    </row>
    <row r="8" spans="1:13" x14ac:dyDescent="0.25">
      <c r="A8">
        <v>1</v>
      </c>
      <c r="B8">
        <v>0.5</v>
      </c>
      <c r="C8" t="s">
        <v>2</v>
      </c>
      <c r="D8">
        <f>B8*E8</f>
        <v>1</v>
      </c>
      <c r="E8">
        <v>2</v>
      </c>
      <c r="F8">
        <v>0.5</v>
      </c>
      <c r="G8">
        <v>9.5</v>
      </c>
      <c r="I8">
        <v>2</v>
      </c>
      <c r="K8">
        <v>1.5</v>
      </c>
      <c r="L8">
        <v>0.5</v>
      </c>
      <c r="M8">
        <v>9.5</v>
      </c>
    </row>
    <row r="9" spans="1:13" x14ac:dyDescent="0.25">
      <c r="A9">
        <v>2</v>
      </c>
      <c r="B9">
        <v>0.5</v>
      </c>
      <c r="C9" t="s">
        <v>2</v>
      </c>
      <c r="D9">
        <f t="shared" ref="D9:D11" si="0">B9*E9</f>
        <v>1</v>
      </c>
      <c r="E9">
        <v>2</v>
      </c>
      <c r="F9">
        <v>0.5</v>
      </c>
      <c r="G9">
        <v>9.5</v>
      </c>
      <c r="I9">
        <v>2</v>
      </c>
      <c r="K9">
        <v>1.25</v>
      </c>
      <c r="L9">
        <v>0.5</v>
      </c>
      <c r="M9">
        <v>9.5</v>
      </c>
    </row>
    <row r="10" spans="1:13" x14ac:dyDescent="0.25">
      <c r="A10">
        <v>3</v>
      </c>
      <c r="B10">
        <v>0.5</v>
      </c>
      <c r="C10" t="s">
        <v>2</v>
      </c>
      <c r="D10">
        <f t="shared" si="0"/>
        <v>1</v>
      </c>
      <c r="E10">
        <v>2</v>
      </c>
      <c r="F10">
        <v>0.5</v>
      </c>
      <c r="G10">
        <v>9.5</v>
      </c>
      <c r="I10">
        <v>2</v>
      </c>
      <c r="K10">
        <v>1</v>
      </c>
      <c r="L10">
        <v>0.5</v>
      </c>
      <c r="M10">
        <v>9.5</v>
      </c>
    </row>
    <row r="11" spans="1:13" x14ac:dyDescent="0.25">
      <c r="A11">
        <v>4</v>
      </c>
      <c r="B11">
        <v>0.5</v>
      </c>
      <c r="C11" t="s">
        <v>2</v>
      </c>
      <c r="D11">
        <f t="shared" si="0"/>
        <v>1</v>
      </c>
      <c r="E11">
        <v>2</v>
      </c>
      <c r="F11">
        <v>0.5</v>
      </c>
      <c r="G11">
        <v>9.5</v>
      </c>
      <c r="I11">
        <v>2</v>
      </c>
      <c r="K11">
        <v>0.75</v>
      </c>
      <c r="L11">
        <v>0.5</v>
      </c>
      <c r="M11">
        <v>9.5</v>
      </c>
    </row>
    <row r="12" spans="1:13" x14ac:dyDescent="0.25">
      <c r="A12">
        <v>5</v>
      </c>
      <c r="B12">
        <v>0.5</v>
      </c>
      <c r="C12" t="s">
        <v>2</v>
      </c>
      <c r="D12">
        <v>1</v>
      </c>
      <c r="E12">
        <v>2</v>
      </c>
      <c r="F12">
        <v>0.5</v>
      </c>
      <c r="G12">
        <v>9.5</v>
      </c>
      <c r="I12">
        <v>2</v>
      </c>
      <c r="K12">
        <v>0.5</v>
      </c>
      <c r="L12" s="2">
        <f>5/20</f>
        <v>0.25</v>
      </c>
      <c r="M12" s="2">
        <f>L12*20-L12</f>
        <v>4.75</v>
      </c>
    </row>
  </sheetData>
  <mergeCells count="1">
    <mergeCell ref="B6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Dilution and Process Order</vt:lpstr>
      <vt:lpstr>Dilution and Order Results</vt:lpstr>
      <vt:lpstr>Varying PEI</vt:lpstr>
      <vt:lpstr>Varying PEI Results</vt:lpstr>
      <vt:lpstr>HCl</vt:lpstr>
      <vt:lpstr>HCl Results</vt:lpstr>
      <vt:lpstr>Diluted HCl</vt:lpstr>
      <vt:lpstr>Diluted HCl Results</vt:lpstr>
      <vt:lpstr>HCl &amp; Water</vt:lpstr>
      <vt:lpstr>HCl &amp; Water Results</vt:lpstr>
      <vt:lpstr>Results summary</vt:lpstr>
      <vt:lpstr>Working Calibration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Lord</dc:creator>
  <cp:lastModifiedBy>Jessie Lord</cp:lastModifiedBy>
  <dcterms:created xsi:type="dcterms:W3CDTF">2017-01-18T15:01:45Z</dcterms:created>
  <dcterms:modified xsi:type="dcterms:W3CDTF">2017-04-19T15:11:38Z</dcterms:modified>
</cp:coreProperties>
</file>